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ESTÃO dayse-070622\2024\Fevereiro\"/>
    </mc:Choice>
  </mc:AlternateContent>
  <bookViews>
    <workbookView xWindow="0" yWindow="0" windowWidth="28800" windowHeight="11940" tabRatio="500" activeTab="2"/>
  </bookViews>
  <sheets>
    <sheet name="RECEITA TOTAL" sheetId="1" r:id="rId1"/>
    <sheet name="JAN 25%" sheetId="2" r:id="rId2"/>
    <sheet name="FEV 25% " sheetId="3" r:id="rId3"/>
    <sheet name="MAR 25% " sheetId="4" r:id="rId4"/>
    <sheet name="ABR 25% " sheetId="5" r:id="rId5"/>
    <sheet name="MAI 25%" sheetId="6" r:id="rId6"/>
    <sheet name="JUN 25%" sheetId="7" r:id="rId7"/>
    <sheet name="AGO 25% " sheetId="9" r:id="rId8"/>
    <sheet name="SET 25%" sheetId="10" r:id="rId9"/>
    <sheet name="OUT 25%" sheetId="11" r:id="rId10"/>
    <sheet name="NOV 25%" sheetId="12" r:id="rId11"/>
    <sheet name="DEZ 25%" sheetId="13" r:id="rId12"/>
  </sheets>
  <externalReferences>
    <externalReference r:id="rId13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0" i="3" l="1"/>
  <c r="C40" i="3"/>
  <c r="B40" i="3"/>
  <c r="E40" i="3"/>
  <c r="D40" i="3"/>
  <c r="K40" i="3"/>
  <c r="B38" i="3"/>
  <c r="J38" i="3"/>
  <c r="C38" i="3"/>
  <c r="K38" i="3"/>
  <c r="C37" i="3"/>
  <c r="I37" i="3"/>
  <c r="J37" i="3"/>
  <c r="D37" i="3"/>
  <c r="J34" i="3"/>
  <c r="C34" i="3"/>
  <c r="B34" i="3"/>
  <c r="C33" i="3"/>
  <c r="B33" i="3"/>
  <c r="B32" i="3"/>
  <c r="J32" i="3"/>
  <c r="E32" i="3"/>
  <c r="B31" i="3"/>
  <c r="J31" i="3"/>
  <c r="E31" i="3"/>
  <c r="D31" i="3"/>
  <c r="F30" i="3"/>
  <c r="B30" i="3"/>
  <c r="D30" i="3"/>
  <c r="K30" i="3"/>
  <c r="J30" i="3"/>
  <c r="E30" i="3"/>
  <c r="F27" i="3"/>
  <c r="H27" i="3"/>
  <c r="B27" i="3"/>
  <c r="K26" i="3"/>
  <c r="H25" i="3"/>
  <c r="F25" i="3"/>
  <c r="B25" i="3"/>
  <c r="B20" i="3"/>
  <c r="K20" i="3"/>
  <c r="D20" i="3"/>
  <c r="B19" i="3"/>
  <c r="K19" i="3"/>
  <c r="B18" i="3"/>
  <c r="K18" i="3"/>
  <c r="B17" i="3"/>
  <c r="J17" i="3"/>
  <c r="C17" i="3"/>
  <c r="J16" i="3"/>
  <c r="B16" i="3"/>
  <c r="D16" i="3"/>
  <c r="F13" i="3"/>
  <c r="H13" i="3"/>
  <c r="B13" i="3"/>
  <c r="D13" i="3"/>
  <c r="B12" i="3"/>
  <c r="D12" i="3"/>
  <c r="J12" i="3"/>
  <c r="E12" i="3"/>
  <c r="P13" i="3" l="1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E41" i="3"/>
  <c r="C41" i="3"/>
  <c r="I41" i="3"/>
  <c r="H41" i="3"/>
  <c r="O41" i="3"/>
  <c r="N41" i="3"/>
  <c r="M41" i="3"/>
  <c r="L41" i="3"/>
  <c r="G41" i="3"/>
  <c r="D41" i="3" l="1"/>
  <c r="P12" i="3"/>
  <c r="P41" i="3" s="1"/>
  <c r="K41" i="3"/>
  <c r="B41" i="3"/>
  <c r="J41" i="3"/>
  <c r="F41" i="3"/>
  <c r="P12" i="2"/>
  <c r="B42" i="2" l="1"/>
  <c r="D42" i="2"/>
  <c r="B41" i="2"/>
  <c r="J41" i="2"/>
  <c r="C41" i="2"/>
  <c r="D41" i="2"/>
  <c r="E41" i="2"/>
  <c r="B40" i="2"/>
  <c r="E40" i="2"/>
  <c r="J40" i="2"/>
  <c r="D40" i="2"/>
  <c r="F37" i="2"/>
  <c r="H37" i="2"/>
  <c r="B37" i="2"/>
  <c r="K37" i="2"/>
  <c r="D37" i="2"/>
  <c r="B36" i="2"/>
  <c r="H36" i="2"/>
  <c r="F36" i="2"/>
  <c r="D36" i="2"/>
  <c r="C35" i="2"/>
  <c r="J35" i="2"/>
  <c r="I35" i="2"/>
  <c r="J34" i="2"/>
  <c r="C34" i="2"/>
  <c r="B34" i="2"/>
  <c r="B30" i="2"/>
  <c r="E30" i="2"/>
  <c r="J30" i="2"/>
  <c r="B29" i="2"/>
  <c r="F29" i="2"/>
  <c r="K29" i="2"/>
  <c r="B28" i="2"/>
  <c r="C27" i="2"/>
  <c r="I27" i="2"/>
  <c r="J27" i="2"/>
  <c r="K27" i="2"/>
  <c r="B26" i="2"/>
  <c r="K26" i="2"/>
  <c r="D26" i="2"/>
  <c r="B23" i="2"/>
  <c r="G26" i="2"/>
  <c r="F23" i="2"/>
  <c r="H23" i="2"/>
  <c r="K23" i="2"/>
  <c r="D23" i="2"/>
  <c r="P23" i="2" s="1"/>
  <c r="B22" i="2"/>
  <c r="B21" i="2"/>
  <c r="P21" i="2" s="1"/>
  <c r="J20" i="2"/>
  <c r="C20" i="2"/>
  <c r="B20" i="2"/>
  <c r="B19" i="2"/>
  <c r="P19" i="2" s="1"/>
  <c r="P22" i="2"/>
  <c r="P24" i="2"/>
  <c r="P25" i="2"/>
  <c r="P28" i="2"/>
  <c r="P29" i="2"/>
  <c r="P31" i="2"/>
  <c r="P32" i="2"/>
  <c r="P33" i="2"/>
  <c r="P34" i="2"/>
  <c r="P38" i="2"/>
  <c r="P39" i="2"/>
  <c r="P14" i="2"/>
  <c r="P15" i="2"/>
  <c r="P16" i="2"/>
  <c r="P17" i="2"/>
  <c r="P18" i="2"/>
  <c r="B16" i="2"/>
  <c r="C16" i="2"/>
  <c r="B14" i="2"/>
  <c r="J14" i="2"/>
  <c r="C14" i="2"/>
  <c r="P13" i="2"/>
  <c r="P42" i="2" l="1"/>
  <c r="P41" i="2"/>
  <c r="P40" i="2"/>
  <c r="P37" i="2"/>
  <c r="P36" i="2"/>
  <c r="P35" i="2"/>
  <c r="P30" i="2"/>
  <c r="P27" i="2"/>
  <c r="P26" i="2"/>
  <c r="P20" i="2"/>
  <c r="G40" i="13"/>
  <c r="C40" i="13"/>
  <c r="I40" i="13"/>
  <c r="K40" i="13"/>
  <c r="F40" i="13"/>
  <c r="E40" i="13"/>
  <c r="C37" i="13"/>
  <c r="K37" i="13"/>
  <c r="F37" i="13"/>
  <c r="E37" i="13"/>
  <c r="B33" i="13"/>
  <c r="D33" i="13"/>
  <c r="K33" i="13"/>
  <c r="J33" i="13"/>
  <c r="G32" i="13"/>
  <c r="G31" i="13"/>
  <c r="B31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2" i="13"/>
  <c r="P33" i="13"/>
  <c r="P34" i="13"/>
  <c r="P35" i="13"/>
  <c r="P36" i="13"/>
  <c r="P37" i="13"/>
  <c r="P38" i="13"/>
  <c r="P39" i="13"/>
  <c r="P41" i="13"/>
  <c r="P42" i="13"/>
  <c r="P12" i="13"/>
  <c r="D31" i="13"/>
  <c r="C31" i="13"/>
  <c r="K31" i="13"/>
  <c r="K30" i="13"/>
  <c r="E30" i="13"/>
  <c r="G29" i="13"/>
  <c r="K18" i="13"/>
  <c r="C18" i="13"/>
  <c r="D18" i="13"/>
  <c r="L18" i="13"/>
  <c r="C15" i="13"/>
  <c r="K15" i="13"/>
  <c r="P40" i="13" l="1"/>
  <c r="P31" i="13"/>
  <c r="K41" i="12"/>
  <c r="O41" i="12" s="1"/>
  <c r="K40" i="12"/>
  <c r="D40" i="12"/>
  <c r="E40" i="12"/>
  <c r="J40" i="12"/>
  <c r="K39" i="12"/>
  <c r="H38" i="12"/>
  <c r="F38" i="12"/>
  <c r="O38" i="12" s="1"/>
  <c r="B38" i="12"/>
  <c r="F35" i="12"/>
  <c r="C35" i="12"/>
  <c r="I35" i="12"/>
  <c r="J35" i="12"/>
  <c r="I33" i="12"/>
  <c r="J33" i="12"/>
  <c r="B33" i="12"/>
  <c r="C33" i="12"/>
  <c r="E31" i="12"/>
  <c r="J31" i="12"/>
  <c r="B28" i="12"/>
  <c r="F28" i="12"/>
  <c r="H28" i="12"/>
  <c r="C25" i="12"/>
  <c r="J25" i="12"/>
  <c r="K25" i="12"/>
  <c r="F24" i="12"/>
  <c r="B24" i="12"/>
  <c r="H24" i="12"/>
  <c r="J24" i="12"/>
  <c r="C24" i="12"/>
  <c r="K24" i="12"/>
  <c r="B18" i="12"/>
  <c r="I18" i="12"/>
  <c r="C18" i="12"/>
  <c r="J18" i="12"/>
  <c r="B12" i="12"/>
  <c r="J12" i="12"/>
  <c r="K12" i="12"/>
  <c r="O39" i="12"/>
  <c r="O13" i="12"/>
  <c r="O14" i="12"/>
  <c r="O15" i="12"/>
  <c r="O16" i="12"/>
  <c r="O17" i="12"/>
  <c r="O19" i="12"/>
  <c r="O20" i="12"/>
  <c r="O21" i="12"/>
  <c r="O22" i="12"/>
  <c r="O23" i="12"/>
  <c r="O25" i="12"/>
  <c r="O26" i="12"/>
  <c r="O27" i="12"/>
  <c r="O28" i="12"/>
  <c r="O29" i="12"/>
  <c r="O30" i="12"/>
  <c r="O40" i="12" l="1"/>
  <c r="O24" i="12"/>
  <c r="O18" i="12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27" i="11"/>
  <c r="O28" i="11"/>
  <c r="K42" i="11" l="1"/>
  <c r="E43" i="11"/>
  <c r="E42" i="11"/>
  <c r="J43" i="11"/>
  <c r="J42" i="11"/>
  <c r="B41" i="11"/>
  <c r="C41" i="11"/>
  <c r="F38" i="11"/>
  <c r="K38" i="11"/>
  <c r="D37" i="11"/>
  <c r="G37" i="11"/>
  <c r="K37" i="11"/>
  <c r="E37" i="11"/>
  <c r="J37" i="11"/>
  <c r="D36" i="11"/>
  <c r="E36" i="11"/>
  <c r="J36" i="11"/>
  <c r="B35" i="11"/>
  <c r="C35" i="11"/>
  <c r="D35" i="11"/>
  <c r="I35" i="11"/>
  <c r="J35" i="11"/>
  <c r="K35" i="11"/>
  <c r="J34" i="11"/>
  <c r="C34" i="11"/>
  <c r="I34" i="11"/>
  <c r="B34" i="11"/>
  <c r="K29" i="11"/>
  <c r="C24" i="11"/>
  <c r="B24" i="11"/>
  <c r="O24" i="11" s="1"/>
  <c r="J24" i="11"/>
  <c r="K24" i="11"/>
  <c r="K22" i="11"/>
  <c r="D20" i="11"/>
  <c r="G20" i="11"/>
  <c r="E20" i="11"/>
  <c r="J20" i="11"/>
  <c r="B15" i="11"/>
  <c r="J15" i="11"/>
  <c r="C15" i="11"/>
  <c r="J14" i="11"/>
  <c r="B14" i="11"/>
  <c r="C14" i="11"/>
  <c r="B13" i="11"/>
  <c r="J13" i="11"/>
  <c r="O13" i="11" s="1"/>
  <c r="K13" i="11"/>
  <c r="O16" i="11"/>
  <c r="O17" i="11"/>
  <c r="O18" i="11"/>
  <c r="O19" i="11"/>
  <c r="O20" i="11"/>
  <c r="O21" i="11"/>
  <c r="O22" i="11"/>
  <c r="O23" i="11"/>
  <c r="O25" i="11"/>
  <c r="O26" i="11"/>
  <c r="O29" i="11"/>
  <c r="B15" i="10" l="1"/>
  <c r="B16" i="10"/>
  <c r="D40" i="10" l="1"/>
  <c r="J40" i="10"/>
  <c r="E40" i="10"/>
  <c r="L38" i="10"/>
  <c r="P38" i="10" s="1"/>
  <c r="L37" i="10"/>
  <c r="B36" i="10"/>
  <c r="J36" i="10"/>
  <c r="C36" i="10"/>
  <c r="I36" i="10"/>
  <c r="L33" i="10"/>
  <c r="L31" i="10"/>
  <c r="J30" i="10"/>
  <c r="B30" i="10"/>
  <c r="C30" i="10"/>
  <c r="B29" i="10"/>
  <c r="J29" i="10"/>
  <c r="C29" i="10"/>
  <c r="B26" i="10"/>
  <c r="P26" i="10" s="1"/>
  <c r="K25" i="10"/>
  <c r="D24" i="10"/>
  <c r="E24" i="10"/>
  <c r="J24" i="10"/>
  <c r="L24" i="10"/>
  <c r="B23" i="10"/>
  <c r="I23" i="10"/>
  <c r="C23" i="10"/>
  <c r="P23" i="10" s="1"/>
  <c r="J23" i="10"/>
  <c r="L23" i="10"/>
  <c r="J19" i="10"/>
  <c r="B19" i="10"/>
  <c r="G19" i="10"/>
  <c r="D19" i="10"/>
  <c r="F16" i="10"/>
  <c r="H16" i="10"/>
  <c r="J16" i="10"/>
  <c r="L16" i="10"/>
  <c r="P15" i="10"/>
  <c r="F12" i="10"/>
  <c r="J12" i="10"/>
  <c r="C12" i="10"/>
  <c r="B12" i="10"/>
  <c r="E12" i="10"/>
  <c r="L12" i="10"/>
  <c r="D12" i="10"/>
  <c r="P37" i="10"/>
  <c r="P39" i="10"/>
  <c r="P42" i="10"/>
  <c r="P14" i="10"/>
  <c r="P17" i="10"/>
  <c r="P18" i="10"/>
  <c r="P20" i="10"/>
  <c r="P21" i="10"/>
  <c r="P22" i="10"/>
  <c r="P25" i="10"/>
  <c r="P27" i="10"/>
  <c r="P28" i="10"/>
  <c r="P29" i="10" l="1"/>
  <c r="P40" i="10"/>
  <c r="P24" i="10"/>
  <c r="P19" i="10"/>
  <c r="P16" i="10"/>
  <c r="E40" i="9"/>
  <c r="D40" i="9"/>
  <c r="J40" i="9"/>
  <c r="C32" i="9"/>
  <c r="I32" i="9"/>
  <c r="B32" i="9"/>
  <c r="J32" i="9"/>
  <c r="B22" i="9"/>
  <c r="C18" i="9"/>
  <c r="B18" i="9"/>
  <c r="E18" i="9"/>
  <c r="D18" i="9"/>
  <c r="C15" i="9"/>
  <c r="J13" i="9"/>
  <c r="B12" i="9"/>
  <c r="J12" i="9"/>
  <c r="C12" i="9"/>
  <c r="K12" i="9"/>
  <c r="K41" i="9" l="1"/>
  <c r="K40" i="9"/>
  <c r="J25" i="9"/>
  <c r="C25" i="9"/>
  <c r="K25" i="9"/>
  <c r="J22" i="9"/>
  <c r="K22" i="9"/>
  <c r="K19" i="9"/>
  <c r="F18" i="9"/>
  <c r="J18" i="9"/>
  <c r="J15" i="9"/>
  <c r="B15" i="9"/>
  <c r="J14" i="9"/>
  <c r="B14" i="9"/>
  <c r="I14" i="9"/>
  <c r="C14" i="9"/>
  <c r="K14" i="9"/>
  <c r="B13" i="9"/>
  <c r="D13" i="9"/>
  <c r="K13" i="9"/>
  <c r="J43" i="13" l="1"/>
  <c r="O43" i="13"/>
  <c r="N43" i="13"/>
  <c r="M43" i="13"/>
  <c r="F43" i="13" l="1"/>
  <c r="G43" i="13"/>
  <c r="C43" i="13"/>
  <c r="K43" i="13"/>
  <c r="H43" i="13"/>
  <c r="D43" i="13"/>
  <c r="L43" i="13"/>
  <c r="I43" i="13"/>
  <c r="E43" i="13"/>
  <c r="P43" i="13" l="1"/>
  <c r="O13" i="9" l="1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 l="1"/>
  <c r="M25" i="7"/>
  <c r="E25" i="7"/>
  <c r="J25" i="7"/>
  <c r="M24" i="7"/>
  <c r="J23" i="7"/>
  <c r="B23" i="7"/>
  <c r="D23" i="7"/>
  <c r="G23" i="7"/>
  <c r="J22" i="7"/>
  <c r="C22" i="7"/>
  <c r="B22" i="7"/>
  <c r="M22" i="7"/>
  <c r="B21" i="7"/>
  <c r="M21" i="7"/>
  <c r="B20" i="7"/>
  <c r="B19" i="7"/>
  <c r="C19" i="7"/>
  <c r="J19" i="7"/>
  <c r="J18" i="7"/>
  <c r="C18" i="7"/>
  <c r="B18" i="7"/>
  <c r="D18" i="7"/>
  <c r="G18" i="7"/>
  <c r="L18" i="7"/>
  <c r="K18" i="7"/>
  <c r="K26" i="7" s="1"/>
  <c r="L26" i="7"/>
  <c r="M18" i="7"/>
  <c r="J17" i="7" l="1"/>
  <c r="B17" i="7"/>
  <c r="B16" i="7"/>
  <c r="M16" i="7"/>
  <c r="M26" i="7" s="1"/>
  <c r="B15" i="7"/>
  <c r="R15" i="7" s="1"/>
  <c r="B14" i="7"/>
  <c r="J14" i="7"/>
  <c r="C14" i="7"/>
  <c r="D13" i="7"/>
  <c r="E13" i="7"/>
  <c r="J13" i="7"/>
  <c r="J12" i="7"/>
  <c r="C12" i="7"/>
  <c r="B12" i="7"/>
  <c r="I12" i="7"/>
  <c r="I26" i="7"/>
  <c r="D12" i="7"/>
  <c r="E12" i="7"/>
  <c r="Q26" i="7"/>
  <c r="P26" i="7"/>
  <c r="O26" i="7"/>
  <c r="N26" i="7"/>
  <c r="H26" i="7"/>
  <c r="G26" i="7"/>
  <c r="F26" i="7"/>
  <c r="R25" i="7"/>
  <c r="R24" i="7"/>
  <c r="R23" i="7"/>
  <c r="R22" i="7"/>
  <c r="R21" i="7"/>
  <c r="R20" i="7"/>
  <c r="R19" i="7"/>
  <c r="R18" i="7"/>
  <c r="E26" i="7" l="1"/>
  <c r="R17" i="7"/>
  <c r="B26" i="7"/>
  <c r="R16" i="7"/>
  <c r="J26" i="7"/>
  <c r="R14" i="7"/>
  <c r="C26" i="7"/>
  <c r="R13" i="7"/>
  <c r="R12" i="7"/>
  <c r="D26" i="7"/>
  <c r="B30" i="6"/>
  <c r="J30" i="6"/>
  <c r="D30" i="6"/>
  <c r="J29" i="6"/>
  <c r="B29" i="6"/>
  <c r="C29" i="6"/>
  <c r="K29" i="6"/>
  <c r="G29" i="6"/>
  <c r="D29" i="6"/>
  <c r="E29" i="6"/>
  <c r="B28" i="6"/>
  <c r="P28" i="6"/>
  <c r="D28" i="6"/>
  <c r="C27" i="6"/>
  <c r="J27" i="6"/>
  <c r="D27" i="6"/>
  <c r="G27" i="6"/>
  <c r="K26" i="6"/>
  <c r="P24" i="6"/>
  <c r="P25" i="6"/>
  <c r="P26" i="6"/>
  <c r="H25" i="6"/>
  <c r="F25" i="6"/>
  <c r="B25" i="6"/>
  <c r="G24" i="6"/>
  <c r="D24" i="6"/>
  <c r="B12" i="6"/>
  <c r="C12" i="6"/>
  <c r="J12" i="6"/>
  <c r="D12" i="6"/>
  <c r="G12" i="6"/>
  <c r="E12" i="6"/>
  <c r="R26" i="7" l="1"/>
  <c r="P30" i="6"/>
  <c r="P29" i="6"/>
  <c r="P27" i="6"/>
  <c r="B23" i="6" l="1"/>
  <c r="J23" i="6"/>
  <c r="D23" i="6"/>
  <c r="G23" i="6"/>
  <c r="B22" i="6"/>
  <c r="I22" i="6"/>
  <c r="J22" i="6"/>
  <c r="K22" i="6"/>
  <c r="P22" i="6" s="1"/>
  <c r="K21" i="6"/>
  <c r="B20" i="6"/>
  <c r="P20" i="6" s="1"/>
  <c r="C19" i="6"/>
  <c r="J19" i="6"/>
  <c r="B19" i="6"/>
  <c r="D19" i="6"/>
  <c r="I18" i="6"/>
  <c r="C18" i="6"/>
  <c r="J18" i="6"/>
  <c r="F17" i="6"/>
  <c r="B17" i="6"/>
  <c r="B16" i="6"/>
  <c r="D16" i="6"/>
  <c r="B15" i="6"/>
  <c r="P15" i="6" s="1"/>
  <c r="K15" i="6"/>
  <c r="J14" i="6"/>
  <c r="B14" i="6"/>
  <c r="B13" i="6"/>
  <c r="J13" i="6"/>
  <c r="E13" i="6"/>
  <c r="D13" i="6"/>
  <c r="G31" i="6"/>
  <c r="O31" i="6"/>
  <c r="N31" i="6"/>
  <c r="M31" i="6"/>
  <c r="L31" i="6"/>
  <c r="H31" i="6"/>
  <c r="F31" i="6"/>
  <c r="P21" i="6"/>
  <c r="I31" i="6" l="1"/>
  <c r="P23" i="6"/>
  <c r="K31" i="6"/>
  <c r="P19" i="6"/>
  <c r="P18" i="6"/>
  <c r="C31" i="6"/>
  <c r="P17" i="6"/>
  <c r="P16" i="6"/>
  <c r="J31" i="6"/>
  <c r="P14" i="6"/>
  <c r="B31" i="6"/>
  <c r="P13" i="6"/>
  <c r="E31" i="6"/>
  <c r="D31" i="6"/>
  <c r="P12" i="6"/>
  <c r="E12" i="5"/>
  <c r="P31" i="6" l="1"/>
  <c r="P17" i="5"/>
  <c r="P13" i="5" l="1"/>
  <c r="P14" i="5"/>
  <c r="P15" i="5"/>
  <c r="P16" i="5"/>
  <c r="P18" i="5"/>
  <c r="P19" i="5"/>
  <c r="P20" i="5"/>
  <c r="P21" i="5"/>
  <c r="P22" i="5"/>
  <c r="P23" i="5"/>
  <c r="P24" i="5"/>
  <c r="P25" i="5"/>
  <c r="P26" i="5"/>
  <c r="B26" i="5"/>
  <c r="K26" i="5"/>
  <c r="B25" i="5"/>
  <c r="E25" i="5"/>
  <c r="D25" i="5"/>
  <c r="K25" i="5"/>
  <c r="F24" i="5"/>
  <c r="H24" i="5"/>
  <c r="B24" i="5"/>
  <c r="B23" i="5"/>
  <c r="C23" i="5"/>
  <c r="I23" i="5"/>
  <c r="J23" i="5"/>
  <c r="D22" i="5"/>
  <c r="B21" i="5"/>
  <c r="F21" i="5"/>
  <c r="K21" i="5"/>
  <c r="K20" i="5"/>
  <c r="F19" i="5"/>
  <c r="B19" i="5"/>
  <c r="B18" i="5"/>
  <c r="J18" i="5"/>
  <c r="C18" i="5"/>
  <c r="H17" i="5"/>
  <c r="F17" i="5"/>
  <c r="B17" i="5"/>
  <c r="J17" i="5"/>
  <c r="C17" i="5"/>
  <c r="K17" i="5"/>
  <c r="K16" i="5"/>
  <c r="B15" i="5"/>
  <c r="J15" i="5"/>
  <c r="B14" i="5"/>
  <c r="B13" i="5"/>
  <c r="K14" i="5"/>
  <c r="K13" i="5"/>
  <c r="B12" i="5"/>
  <c r="H12" i="5"/>
  <c r="C12" i="5"/>
  <c r="C27" i="5" s="1"/>
  <c r="J12" i="5"/>
  <c r="K12" i="5"/>
  <c r="D12" i="5"/>
  <c r="D27" i="5" s="1"/>
  <c r="E27" i="5"/>
  <c r="O27" i="5"/>
  <c r="N27" i="5"/>
  <c r="M27" i="5"/>
  <c r="L27" i="5"/>
  <c r="I27" i="5"/>
  <c r="H27" i="5"/>
  <c r="G27" i="5"/>
  <c r="F27" i="5" l="1"/>
  <c r="J27" i="5"/>
  <c r="B27" i="5"/>
  <c r="K27" i="5"/>
  <c r="P12" i="5"/>
  <c r="P27" i="5" l="1"/>
  <c r="P32" i="4" l="1"/>
  <c r="F32" i="4"/>
  <c r="G32" i="4"/>
  <c r="H32" i="4"/>
  <c r="I32" i="4"/>
  <c r="J32" i="4"/>
  <c r="K32" i="4"/>
  <c r="C32" i="4"/>
  <c r="D32" i="4"/>
  <c r="E32" i="4"/>
  <c r="B32" i="4"/>
  <c r="E29" i="4"/>
  <c r="D29" i="4"/>
  <c r="C29" i="4"/>
  <c r="B29" i="4"/>
  <c r="J29" i="4"/>
  <c r="P29" i="4" s="1"/>
  <c r="P25" i="4"/>
  <c r="P26" i="4"/>
  <c r="P27" i="4"/>
  <c r="P28" i="4"/>
  <c r="P30" i="4"/>
  <c r="P31" i="4"/>
  <c r="B31" i="4" l="1"/>
  <c r="K31" i="4"/>
  <c r="D31" i="4"/>
  <c r="B30" i="4"/>
  <c r="B28" i="4"/>
  <c r="C28" i="4"/>
  <c r="J28" i="4"/>
  <c r="K28" i="4"/>
  <c r="B27" i="4"/>
  <c r="B25" i="4"/>
  <c r="B24" i="4"/>
  <c r="I24" i="4"/>
  <c r="C24" i="4"/>
  <c r="J24" i="4"/>
  <c r="B23" i="4"/>
  <c r="J23" i="4"/>
  <c r="F23" i="4"/>
  <c r="K26" i="4"/>
  <c r="J26" i="4"/>
  <c r="I26" i="4"/>
  <c r="C26" i="4"/>
  <c r="B22" i="4" l="1"/>
  <c r="K22" i="4"/>
  <c r="D22" i="4"/>
  <c r="G22" i="4"/>
  <c r="P16" i="4" l="1"/>
  <c r="P17" i="4"/>
  <c r="P18" i="4"/>
  <c r="P19" i="4"/>
  <c r="P20" i="4"/>
  <c r="P21" i="4"/>
  <c r="P22" i="4"/>
  <c r="P23" i="4"/>
  <c r="P24" i="4"/>
  <c r="B21" i="4"/>
  <c r="C21" i="4"/>
  <c r="J21" i="4"/>
  <c r="F21" i="4"/>
  <c r="H21" i="4"/>
  <c r="D21" i="4"/>
  <c r="F20" i="4" l="1"/>
  <c r="C20" i="4"/>
  <c r="F19" i="4"/>
  <c r="H18" i="4" l="1"/>
  <c r="F18" i="4"/>
  <c r="B18" i="4"/>
  <c r="C18" i="4"/>
  <c r="J18" i="4"/>
  <c r="H17" i="4"/>
  <c r="F17" i="4"/>
  <c r="B17" i="4"/>
  <c r="D17" i="4"/>
  <c r="C16" i="4" l="1"/>
  <c r="B16" i="4"/>
  <c r="L32" i="4" l="1"/>
  <c r="M32" i="4"/>
  <c r="N32" i="4"/>
  <c r="O32" i="4"/>
  <c r="B15" i="4"/>
  <c r="C15" i="4"/>
  <c r="J15" i="4"/>
  <c r="G15" i="4"/>
  <c r="K15" i="4"/>
  <c r="D15" i="4"/>
  <c r="C14" i="4"/>
  <c r="B14" i="4"/>
  <c r="B13" i="4"/>
  <c r="D13" i="4"/>
  <c r="B12" i="4"/>
  <c r="J12" i="4"/>
  <c r="C12" i="4"/>
  <c r="I12" i="4"/>
  <c r="D12" i="4"/>
  <c r="E12" i="4"/>
  <c r="K12" i="4"/>
  <c r="P13" i="4" l="1"/>
  <c r="P15" i="4"/>
  <c r="P14" i="4"/>
  <c r="P12" i="4"/>
  <c r="K43" i="2" l="1"/>
  <c r="F43" i="2"/>
  <c r="G43" i="2"/>
  <c r="H43" i="2"/>
  <c r="I43" i="2"/>
  <c r="L43" i="2"/>
  <c r="M43" i="2"/>
  <c r="N43" i="2"/>
  <c r="O43" i="2"/>
  <c r="E43" i="2" l="1"/>
  <c r="J43" i="2" l="1"/>
  <c r="C43" i="2"/>
  <c r="D43" i="2"/>
  <c r="P43" i="2" l="1"/>
  <c r="B43" i="2"/>
  <c r="N42" i="12" l="1"/>
  <c r="M42" i="12"/>
  <c r="L42" i="12"/>
  <c r="H42" i="12"/>
  <c r="G42" i="12"/>
  <c r="F42" i="12"/>
  <c r="I42" i="12"/>
  <c r="O37" i="12"/>
  <c r="O36" i="12"/>
  <c r="K42" i="12"/>
  <c r="O34" i="12"/>
  <c r="O33" i="12"/>
  <c r="O32" i="12"/>
  <c r="E42" i="12"/>
  <c r="D42" i="12"/>
  <c r="C42" i="12"/>
  <c r="N43" i="11"/>
  <c r="M43" i="11"/>
  <c r="L43" i="11"/>
  <c r="I43" i="11"/>
  <c r="G43" i="11"/>
  <c r="H43" i="11"/>
  <c r="O15" i="11"/>
  <c r="O43" i="10"/>
  <c r="N43" i="10"/>
  <c r="M43" i="10"/>
  <c r="I43" i="10"/>
  <c r="H43" i="10"/>
  <c r="G43" i="10"/>
  <c r="F43" i="10"/>
  <c r="E43" i="10"/>
  <c r="D43" i="10"/>
  <c r="C43" i="10"/>
  <c r="P36" i="10"/>
  <c r="P35" i="10"/>
  <c r="P34" i="10"/>
  <c r="P33" i="10"/>
  <c r="P32" i="10"/>
  <c r="P31" i="10"/>
  <c r="P30" i="10"/>
  <c r="P13" i="10"/>
  <c r="J43" i="10"/>
  <c r="B43" i="10"/>
  <c r="D21" i="1"/>
  <c r="D20" i="1"/>
  <c r="D17" i="1"/>
  <c r="D15" i="1"/>
  <c r="D14" i="1"/>
  <c r="D8" i="1"/>
  <c r="B22" i="1"/>
  <c r="B21" i="1"/>
  <c r="B20" i="1"/>
  <c r="B19" i="1"/>
  <c r="B18" i="1"/>
  <c r="B16" i="1"/>
  <c r="B15" i="1"/>
  <c r="B14" i="1"/>
  <c r="B12" i="1"/>
  <c r="B10" i="1"/>
  <c r="B8" i="1"/>
  <c r="B38" i="1"/>
  <c r="B37" i="1"/>
  <c r="B35" i="1"/>
  <c r="B34" i="1"/>
  <c r="B30" i="1"/>
  <c r="B29" i="1"/>
  <c r="X25" i="1"/>
  <c r="V25" i="1"/>
  <c r="T25" i="1"/>
  <c r="B36" i="1" s="1"/>
  <c r="R25" i="1"/>
  <c r="P25" i="1"/>
  <c r="N25" i="1"/>
  <c r="B33" i="1" s="1"/>
  <c r="L25" i="1"/>
  <c r="B32" i="1" s="1"/>
  <c r="J25" i="1"/>
  <c r="B31" i="1" s="1"/>
  <c r="H25" i="1"/>
  <c r="F25" i="1"/>
  <c r="D18" i="1"/>
  <c r="D11" i="1"/>
  <c r="D9" i="1"/>
  <c r="B17" i="1" l="1"/>
  <c r="O31" i="12"/>
  <c r="J42" i="12"/>
  <c r="B42" i="12"/>
  <c r="C43" i="11"/>
  <c r="F43" i="11"/>
  <c r="D43" i="11"/>
  <c r="O14" i="11"/>
  <c r="D13" i="1"/>
  <c r="D16" i="1"/>
  <c r="D12" i="1"/>
  <c r="B11" i="1"/>
  <c r="B13" i="1"/>
  <c r="B23" i="1"/>
  <c r="B9" i="1"/>
  <c r="L43" i="10"/>
  <c r="B43" i="11"/>
  <c r="D10" i="1"/>
  <c r="D19" i="1"/>
  <c r="K43" i="11"/>
  <c r="O35" i="12"/>
  <c r="O12" i="11"/>
  <c r="O12" i="12"/>
  <c r="B7" i="1"/>
  <c r="P12" i="10"/>
  <c r="P43" i="10" s="1"/>
  <c r="O43" i="11" l="1"/>
  <c r="B25" i="1"/>
  <c r="B27" i="1" s="1"/>
  <c r="O42" i="12"/>
  <c r="D7" i="1"/>
  <c r="D25" i="1" s="1"/>
  <c r="B28" i="1" s="1"/>
  <c r="Y25" i="1" l="1"/>
  <c r="B43" i="9" l="1"/>
  <c r="O12" i="9"/>
</calcChain>
</file>

<file path=xl/sharedStrings.xml><?xml version="1.0" encoding="utf-8"?>
<sst xmlns="http://schemas.openxmlformats.org/spreadsheetml/2006/main" count="251" uniqueCount="43">
  <si>
    <t xml:space="preserve">Valor da Receita total do CRMV </t>
  </si>
  <si>
    <t>total</t>
  </si>
  <si>
    <t>TOTAIS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</si>
  <si>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</si>
  <si>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</si>
  <si>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</si>
  <si>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</si>
  <si>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</si>
  <si>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</si>
  <si>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</si>
  <si>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</si>
  <si>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</si>
  <si>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</si>
  <si>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</si>
  <si>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</si>
  <si>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Modelo para rateio dos recebimentos</t>
  </si>
  <si>
    <t>Anuidade PF anos anteriores</t>
  </si>
  <si>
    <t>Anuidade PJ anos anteriores</t>
  </si>
  <si>
    <t>Taxa Expedição de Carteira</t>
  </si>
  <si>
    <t>Taxa Inscr. PJ</t>
  </si>
  <si>
    <t>Taxa Insc. PF</t>
  </si>
  <si>
    <t>Multa Eleitoral</t>
  </si>
  <si>
    <t>Custo de Expediente</t>
  </si>
  <si>
    <t>Taxa ART</t>
  </si>
  <si>
    <t>Cert. Regularidade</t>
  </si>
  <si>
    <t>Juros</t>
  </si>
  <si>
    <t>Multas</t>
  </si>
  <si>
    <t>Atualização</t>
  </si>
  <si>
    <t>Anuidade PF 2023</t>
  </si>
  <si>
    <t>Anuidade PJ 2023</t>
  </si>
  <si>
    <t>Macapá-AP, 30 de abril de 2023.</t>
  </si>
  <si>
    <t>Macapá-AP, 31 de março de 2023.</t>
  </si>
  <si>
    <t>Macapá-AP, 31 de maio de 2023.</t>
  </si>
  <si>
    <t>Planilha Diária de Valores repassados ao CFMV 25%</t>
  </si>
  <si>
    <t>o</t>
  </si>
  <si>
    <t>Valor do Recebimento liquido (já descontado a cota parte do CFMV) 25%</t>
  </si>
  <si>
    <t>Certificado de Credenciamento</t>
  </si>
  <si>
    <t>Macapá-AP, 30 de junho de 2023.</t>
  </si>
  <si>
    <t>Credenciamento</t>
  </si>
  <si>
    <t>Taxa de Certificado</t>
  </si>
  <si>
    <t>Anuidade PF 2024</t>
  </si>
  <si>
    <t>Anuidade PJ 2024</t>
  </si>
  <si>
    <t xml:space="preserve"> Macapá-AP, 05 de fevereiro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</si>
</sst>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/mmm"/>
    <numFmt numFmtId="165" formatCode="_-* #,##0.00_-;\-* #,##0.00_-;_-* \-??_-;_-@_-"/>
  </numFmts>
  <fonts count="8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206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C3D69B"/>
      </patternFill>
    </fill>
    <fill>
      <patternFill patternType="solid">
        <fgColor rgb="FFFFFFFF"/>
        <bgColor rgb="FFE6F7FF"/>
      </patternFill>
    </fill>
    <fill>
      <patternFill patternType="solid">
        <fgColor rgb="FFC3D69B"/>
        <bgColor rgb="FFBFBFBF"/>
      </patternFill>
    </fill>
    <fill>
      <patternFill patternType="solid">
        <fgColor rgb="FF808080"/>
        <bgColor rgb="FF878787"/>
      </patternFill>
    </fill>
    <fill>
      <patternFill patternType="solid">
        <fgColor rgb="FFD9D9D9"/>
        <bgColor rgb="FFFFE5E5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92D050"/>
      </patternFill>
    </fill>
    <fill>
      <patternFill patternType="solid">
        <fgColor theme="0" tint="-0.14999847407452621"/>
        <bgColor rgb="FF92D050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5" fillId="0" borderId="0" applyBorder="0" applyProtection="0"/>
  </cellStyleXfs>
  <cellXfs count="63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0" fillId="3" borderId="0" xfId="0" applyFill="1" applyAlignment="1" applyProtection="1"/>
    <xf numFmtId="164" fontId="3" fillId="3" borderId="4" xfId="0" applyNumberFormat="1" applyFont="1" applyFill="1" applyBorder="1" applyAlignment="1" applyProtection="1">
      <alignment horizontal="center" vertical="center" wrapText="1"/>
    </xf>
    <xf numFmtId="165" fontId="2" fillId="4" borderId="3" xfId="1" applyFont="1" applyFill="1" applyBorder="1" applyAlignment="1" applyProtection="1"/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 vertical="center" wrapText="1"/>
    </xf>
    <xf numFmtId="165" fontId="2" fillId="5" borderId="3" xfId="1" applyFont="1" applyFill="1" applyBorder="1" applyAlignment="1" applyProtection="1"/>
    <xf numFmtId="165" fontId="2" fillId="5" borderId="5" xfId="1" applyFont="1" applyFill="1" applyBorder="1" applyAlignment="1" applyProtection="1"/>
    <xf numFmtId="165" fontId="0" fillId="6" borderId="6" xfId="0" applyNumberFormat="1" applyFill="1" applyBorder="1" applyAlignment="1" applyProtection="1"/>
    <xf numFmtId="165" fontId="0" fillId="0" borderId="0" xfId="0" applyNumberFormat="1" applyAlignment="1" applyProtection="1"/>
    <xf numFmtId="0" fontId="4" fillId="0" borderId="0" xfId="0" applyFont="1" applyAlignment="1" applyProtection="1"/>
    <xf numFmtId="164" fontId="1" fillId="4" borderId="4" xfId="0" applyNumberFormat="1" applyFont="1" applyFill="1" applyBorder="1" applyAlignment="1" applyProtection="1">
      <alignment horizontal="center" vertical="center" wrapText="1"/>
    </xf>
    <xf numFmtId="165" fontId="1" fillId="4" borderId="3" xfId="1" applyFont="1" applyFill="1" applyBorder="1" applyAlignment="1" applyProtection="1"/>
    <xf numFmtId="165" fontId="1" fillId="7" borderId="3" xfId="1" applyFont="1" applyFill="1" applyBorder="1" applyAlignment="1" applyProtection="1"/>
    <xf numFmtId="165" fontId="1" fillId="0" borderId="3" xfId="1" applyFont="1" applyBorder="1" applyAlignment="1" applyProtection="1"/>
    <xf numFmtId="164" fontId="1" fillId="4" borderId="3" xfId="0" applyNumberFormat="1" applyFont="1" applyFill="1" applyBorder="1" applyAlignment="1" applyProtection="1">
      <alignment horizontal="center" vertical="center" wrapText="1"/>
    </xf>
    <xf numFmtId="165" fontId="1" fillId="8" borderId="5" xfId="1" applyFont="1" applyFill="1" applyBorder="1" applyAlignment="1" applyProtection="1"/>
    <xf numFmtId="165" fontId="1" fillId="4" borderId="7" xfId="1" applyFont="1" applyFill="1" applyBorder="1" applyAlignment="1" applyProtection="1"/>
    <xf numFmtId="165" fontId="1" fillId="4" borderId="8" xfId="1" applyFont="1" applyFill="1" applyBorder="1" applyAlignment="1" applyProtection="1"/>
    <xf numFmtId="165" fontId="2" fillId="8" borderId="3" xfId="1" applyFont="1" applyFill="1" applyBorder="1" applyAlignment="1" applyProtection="1"/>
    <xf numFmtId="164" fontId="1" fillId="0" borderId="0" xfId="0" applyNumberFormat="1" applyFont="1" applyBorder="1" applyAlignment="1" applyProtection="1">
      <alignment horizontal="center" vertical="center" wrapText="1"/>
    </xf>
    <xf numFmtId="165" fontId="1" fillId="0" borderId="0" xfId="1" applyFont="1" applyBorder="1" applyAlignment="1" applyProtection="1"/>
    <xf numFmtId="165" fontId="2" fillId="0" borderId="0" xfId="1" applyFont="1" applyBorder="1" applyAlignment="1" applyProtection="1"/>
    <xf numFmtId="164" fontId="1" fillId="0" borderId="4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Alignment="1" applyProtection="1"/>
    <xf numFmtId="164" fontId="1" fillId="0" borderId="3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5" fontId="1" fillId="4" borderId="0" xfId="1" applyFont="1" applyFill="1" applyBorder="1" applyAlignment="1" applyProtection="1"/>
    <xf numFmtId="4" fontId="1" fillId="4" borderId="3" xfId="1" applyNumberFormat="1" applyFont="1" applyFill="1" applyBorder="1" applyAlignment="1" applyProtection="1"/>
    <xf numFmtId="165" fontId="2" fillId="9" borderId="5" xfId="1" applyFont="1" applyFill="1" applyBorder="1" applyAlignment="1" applyProtection="1"/>
    <xf numFmtId="165" fontId="2" fillId="4" borderId="5" xfId="1" applyFont="1" applyFill="1" applyBorder="1" applyAlignment="1" applyProtection="1"/>
    <xf numFmtId="165" fontId="2" fillId="9" borderId="3" xfId="1" applyFont="1" applyFill="1" applyBorder="1" applyAlignment="1" applyProtection="1"/>
    <xf numFmtId="0" fontId="2" fillId="0" borderId="0" xfId="0" applyFont="1" applyAlignment="1" applyProtection="1"/>
    <xf numFmtId="165" fontId="2" fillId="0" borderId="0" xfId="0" applyNumberFormat="1" applyFont="1" applyAlignment="1" applyProtection="1"/>
    <xf numFmtId="165" fontId="1" fillId="9" borderId="5" xfId="1" applyFont="1" applyFill="1" applyBorder="1" applyAlignment="1" applyProtection="1"/>
    <xf numFmtId="165" fontId="2" fillId="9" borderId="8" xfId="1" applyFont="1" applyFill="1" applyBorder="1" applyAlignment="1" applyProtection="1"/>
    <xf numFmtId="165" fontId="1" fillId="4" borderId="5" xfId="1" applyFont="1" applyFill="1" applyBorder="1" applyAlignment="1" applyProtection="1"/>
    <xf numFmtId="165" fontId="1" fillId="9" borderId="7" xfId="1" applyFont="1" applyFill="1" applyBorder="1" applyAlignment="1" applyProtection="1"/>
    <xf numFmtId="0" fontId="6" fillId="0" borderId="0" xfId="0" applyFont="1" applyAlignment="1" applyProtection="1"/>
    <xf numFmtId="43" fontId="1" fillId="0" borderId="0" xfId="0" applyNumberFormat="1" applyFont="1" applyAlignment="1" applyProtection="1"/>
    <xf numFmtId="165" fontId="7" fillId="10" borderId="5" xfId="1" applyFont="1" applyFill="1" applyBorder="1" applyAlignment="1" applyProtection="1"/>
    <xf numFmtId="165" fontId="1" fillId="9" borderId="3" xfId="1" applyFont="1" applyFill="1" applyBorder="1" applyAlignment="1" applyProtection="1"/>
    <xf numFmtId="165" fontId="1" fillId="0" borderId="5" xfId="1" applyFont="1" applyFill="1" applyBorder="1" applyAlignment="1" applyProtection="1"/>
    <xf numFmtId="165" fontId="1" fillId="0" borderId="3" xfId="1" applyFont="1" applyFill="1" applyBorder="1" applyAlignment="1" applyProtection="1"/>
    <xf numFmtId="164" fontId="1" fillId="0" borderId="5" xfId="0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17" fontId="1" fillId="2" borderId="1" xfId="0" applyNumberFormat="1" applyFont="1" applyFill="1" applyBorder="1" applyAlignment="1" applyProtection="1">
      <alignment horizont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5" fontId="1" fillId="0" borderId="9" xfId="1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center" vertical="center" wrapText="1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 wrapText="1"/>
    </xf>
    <xf numFmtId="165" fontId="1" fillId="0" borderId="0" xfId="1" applyFont="1" applyBorder="1" applyAlignment="1" applyProtection="1">
      <alignment horizontal="right"/>
    </xf>
    <xf numFmtId="164" fontId="1" fillId="0" borderId="9" xfId="0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BE4B48"/>
      <rgbColor rgb="FFFFE5E5"/>
      <rgbColor rgb="FFE6F7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FECFF"/>
      <rgbColor rgb="FFC3D69B"/>
      <rgbColor rgb="FFFFFF99"/>
      <rgbColor rgb="FF92D050"/>
      <rgbColor rgb="FFFF99CC"/>
      <rgbColor rgb="FFCC99FF"/>
      <rgbColor rgb="FFFFC1BE"/>
      <rgbColor rgb="FF3366FF"/>
      <rgbColor rgb="FF46AAC4"/>
      <rgbColor rgb="FF81D41A"/>
      <rgbColor rgb="FFFFCC00"/>
      <rgbColor rgb="FFFF9900"/>
      <rgbColor rgb="FFFF6600"/>
      <rgbColor rgb="FF666699"/>
      <rgbColor rgb="FF878787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5560">
              <a:solidFill>
                <a:srgbClr val="000000"/>
              </a:solidFill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'RECEITA TOTAL'!$A$27:$A$38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'RECEITA TOTAL'!$B$27:$B$38</c:f>
              <c:numCache>
                <c:formatCode>_-* #,##0.00_-;\-* #,##0.00_-;_-*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7-4797-9AB3-6BB6E114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96013931"/>
        <c:axId val="93084740"/>
      </c:lineChart>
      <c:catAx>
        <c:axId val="9601393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3084740"/>
        <c:crosses val="autoZero"/>
        <c:auto val="1"/>
        <c:lblAlgn val="ctr"/>
        <c:lblOffset val="100"/>
        <c:noMultiLvlLbl val="0"/>
      </c:catAx>
      <c:valAx>
        <c:axId val="9308474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_(* #,##0.00_);_(* \(#,##0.00\);_(* \-??_);_(@_)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6013931"/>
        <c:crosses val="autoZero"/>
        <c:crossBetween val="between"/>
      </c:valAx>
      <c:spPr>
        <a:gradFill>
          <a:gsLst>
            <a:gs pos="0">
              <a:srgbClr val="FFC1BE"/>
            </a:gs>
            <a:gs pos="100000">
              <a:srgbClr val="FFE5E5"/>
            </a:gs>
          </a:gsLst>
          <a:lin ang="16200000"/>
        </a:gradFill>
        <a:ln w="9360">
          <a:solidFill>
            <a:srgbClr val="BE4B48"/>
          </a:solidFill>
          <a:round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spPr>
    <a:gradFill>
      <a:gsLst>
        <a:gs pos="0">
          <a:srgbClr val="BFECFF"/>
        </a:gs>
        <a:gs pos="100000">
          <a:srgbClr val="E6F7FF"/>
        </a:gs>
      </a:gsLst>
      <a:lin ang="16200000"/>
    </a:gradFill>
    <a:ln w="9360">
      <a:solidFill>
        <a:srgbClr val="46AAC4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157320</xdr:colOff>
      <xdr:row>26</xdr:row>
      <xdr:rowOff>28440</xdr:rowOff>
    </xdr:from>
    <xdr:to>
      <xdr:col>7</xdr:col>
      <xdr:colOff>371520</xdr:colOff>
      <xdr:row>38</xdr:row>
      <xdr:rowOff>66600</xdr:rowOff>
    </xdr:to>
    <xdr:graphicFrame macro="">
      <xdr:nvGraphicFramePr>
        <xdr:cNvPr id="2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195;O%20dayse-070622/2023/FINANCEIRO2023/012023/Planilhas%2025%25%20e%2075%25/25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5%"/>
      <sheetName val="FEV 25% "/>
      <sheetName val="MAR 25%"/>
      <sheetName val="ABR 25%"/>
      <sheetName val="MAIO 25%"/>
      <sheetName val="JUNHO 25%"/>
      <sheetName val="JULHO 25%"/>
      <sheetName val="AGOSTO 25% "/>
      <sheetName val="SETEMB 25%  "/>
      <sheetName val="OUTUB 25%"/>
      <sheetName val="NOVEM 25%"/>
      <sheetName val="DEZEM 25%"/>
    </sheetNames>
    <sheetDataSet>
      <sheetData sheetId="0">
        <row r="12">
          <cell r="P12">
            <v>354.23</v>
          </cell>
        </row>
        <row r="13">
          <cell r="P13">
            <v>312.18000000000006</v>
          </cell>
        </row>
        <row r="14">
          <cell r="P14">
            <v>125.73</v>
          </cell>
        </row>
        <row r="15">
          <cell r="P15">
            <v>143.69</v>
          </cell>
        </row>
        <row r="16">
          <cell r="P16">
            <v>110.5</v>
          </cell>
        </row>
        <row r="17">
          <cell r="P17">
            <v>150.23000000000002</v>
          </cell>
        </row>
        <row r="18">
          <cell r="P18">
            <v>960.25</v>
          </cell>
        </row>
        <row r="19">
          <cell r="P19">
            <v>223.56</v>
          </cell>
        </row>
        <row r="20">
          <cell r="P20">
            <v>628.76</v>
          </cell>
        </row>
        <row r="21">
          <cell r="P21">
            <v>305.75000000000006</v>
          </cell>
        </row>
        <row r="22">
          <cell r="P22">
            <v>335.34000000000003</v>
          </cell>
        </row>
        <row r="23">
          <cell r="P23">
            <v>26.3</v>
          </cell>
        </row>
        <row r="24">
          <cell r="P24">
            <v>448.55</v>
          </cell>
        </row>
        <row r="25">
          <cell r="P25">
            <v>223.56</v>
          </cell>
        </row>
        <row r="26">
          <cell r="P26">
            <v>278.81</v>
          </cell>
        </row>
        <row r="27">
          <cell r="P27">
            <v>279.45</v>
          </cell>
        </row>
        <row r="28">
          <cell r="P28">
            <v>1770.4399999999996</v>
          </cell>
        </row>
      </sheetData>
      <sheetData sheetId="1">
        <row r="12">
          <cell r="P12">
            <v>6696.7100000000019</v>
          </cell>
        </row>
        <row r="13">
          <cell r="P13">
            <v>89.550000000000011</v>
          </cell>
        </row>
        <row r="14">
          <cell r="P14">
            <v>65.75</v>
          </cell>
        </row>
        <row r="15">
          <cell r="P15">
            <v>29.990000000000002</v>
          </cell>
        </row>
        <row r="16">
          <cell r="P16">
            <v>32.880000000000003</v>
          </cell>
        </row>
        <row r="17">
          <cell r="P17">
            <v>203.65000000000003</v>
          </cell>
        </row>
        <row r="18">
          <cell r="P18">
            <v>665.06000000000006</v>
          </cell>
        </row>
        <row r="19">
          <cell r="P19">
            <v>495.9</v>
          </cell>
        </row>
        <row r="20">
          <cell r="P20">
            <v>118.35</v>
          </cell>
        </row>
        <row r="21">
          <cell r="P21">
            <v>76.160000000000025</v>
          </cell>
        </row>
        <row r="22">
          <cell r="P22">
            <v>232.78</v>
          </cell>
        </row>
        <row r="23">
          <cell r="P23">
            <v>92.25</v>
          </cell>
        </row>
        <row r="24">
          <cell r="P24">
            <v>376.13</v>
          </cell>
        </row>
        <row r="25">
          <cell r="P25">
            <v>93.56</v>
          </cell>
        </row>
        <row r="26">
          <cell r="P26">
            <v>52.6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A4" zoomScaleNormal="100" workbookViewId="0">
      <selection activeCell="F7" sqref="F7"/>
    </sheetView>
  </sheetViews>
  <sheetFormatPr defaultColWidth="8.7109375" defaultRowHeight="15" x14ac:dyDescent="0.25"/>
  <cols>
    <col min="1" max="1" width="6.140625" style="1" customWidth="1"/>
    <col min="2" max="2" width="11.7109375" style="1" customWidth="1"/>
    <col min="4" max="4" width="11.7109375" style="1" customWidth="1"/>
    <col min="6" max="6" width="11.7109375" style="1" customWidth="1"/>
    <col min="8" max="8" width="10.7109375" style="1" customWidth="1"/>
    <col min="10" max="10" width="10.7109375" style="1" customWidth="1"/>
    <col min="12" max="12" width="10.7109375" style="1" customWidth="1"/>
    <col min="14" max="14" width="11.7109375" style="1" customWidth="1"/>
    <col min="16" max="16" width="10.7109375" style="1" customWidth="1"/>
    <col min="18" max="18" width="9.28515625" style="1" customWidth="1"/>
    <col min="20" max="20" width="9.28515625" style="1" customWidth="1"/>
    <col min="22" max="22" width="9.28515625" style="1" customWidth="1"/>
    <col min="24" max="24" width="9.28515625" style="1" customWidth="1"/>
    <col min="25" max="25" width="14.5703125" style="1" customWidth="1"/>
  </cols>
  <sheetData>
    <row r="1" spans="1:25" x14ac:dyDescent="0.25">
      <c r="A1" s="2"/>
      <c r="B1" s="2"/>
    </row>
    <row r="2" spans="1:25" ht="22.5" customHeight="1" x14ac:dyDescent="0.25">
      <c r="A2" s="51" t="s">
        <v>0</v>
      </c>
      <c r="B2" s="51"/>
      <c r="C2" s="51" t="s">
        <v>0</v>
      </c>
      <c r="D2" s="51"/>
      <c r="E2" s="51" t="s">
        <v>0</v>
      </c>
      <c r="F2" s="51"/>
      <c r="G2" s="51" t="s">
        <v>0</v>
      </c>
      <c r="H2" s="51"/>
      <c r="I2" s="51" t="s">
        <v>0</v>
      </c>
      <c r="J2" s="51"/>
      <c r="K2" s="51" t="s">
        <v>0</v>
      </c>
      <c r="L2" s="51"/>
      <c r="M2" s="51" t="s">
        <v>0</v>
      </c>
      <c r="N2" s="51"/>
      <c r="O2" s="51" t="s">
        <v>0</v>
      </c>
      <c r="P2" s="51"/>
      <c r="Q2" s="51" t="s">
        <v>0</v>
      </c>
      <c r="R2" s="51"/>
      <c r="S2" s="51" t="s">
        <v>0</v>
      </c>
      <c r="T2" s="51"/>
      <c r="U2" s="51" t="s">
        <v>0</v>
      </c>
      <c r="V2" s="51"/>
      <c r="W2" s="51" t="s">
        <v>0</v>
      </c>
      <c r="X2" s="51"/>
    </row>
    <row r="3" spans="1:25" x14ac:dyDescent="0.25">
      <c r="A3" s="52">
        <v>43831</v>
      </c>
      <c r="B3" s="52"/>
      <c r="C3" s="52">
        <v>43862</v>
      </c>
      <c r="D3" s="52"/>
      <c r="E3" s="52">
        <v>43891</v>
      </c>
      <c r="F3" s="52"/>
      <c r="G3" s="52">
        <v>43922</v>
      </c>
      <c r="H3" s="52"/>
      <c r="I3" s="52">
        <v>43952</v>
      </c>
      <c r="J3" s="52"/>
      <c r="K3" s="52">
        <v>43983</v>
      </c>
      <c r="L3" s="52"/>
      <c r="M3" s="52">
        <v>44013</v>
      </c>
      <c r="N3" s="52"/>
      <c r="O3" s="52">
        <v>44044</v>
      </c>
      <c r="P3" s="52"/>
      <c r="Q3" s="52">
        <v>44075</v>
      </c>
      <c r="R3" s="52"/>
      <c r="S3" s="52">
        <v>44105</v>
      </c>
      <c r="T3" s="52"/>
      <c r="U3" s="52">
        <v>44136</v>
      </c>
      <c r="V3" s="52"/>
      <c r="W3" s="52">
        <v>44166</v>
      </c>
      <c r="X3" s="52"/>
      <c r="Y3" s="3"/>
    </row>
    <row r="4" spans="1:25" ht="15" customHeight="1" x14ac:dyDescent="0.25">
      <c r="A4" s="49"/>
      <c r="B4" s="50" t="s">
        <v>1</v>
      </c>
      <c r="C4" s="49"/>
      <c r="D4" s="50" t="s">
        <v>1</v>
      </c>
      <c r="E4" s="49"/>
      <c r="F4" s="50" t="s">
        <v>1</v>
      </c>
      <c r="G4" s="49"/>
      <c r="H4" s="50" t="s">
        <v>1</v>
      </c>
      <c r="I4" s="49"/>
      <c r="J4" s="50" t="s">
        <v>1</v>
      </c>
      <c r="K4" s="49"/>
      <c r="L4" s="50" t="s">
        <v>1</v>
      </c>
      <c r="M4" s="49"/>
      <c r="N4" s="50" t="s">
        <v>1</v>
      </c>
      <c r="O4" s="49"/>
      <c r="P4" s="50" t="s">
        <v>1</v>
      </c>
      <c r="Q4" s="49"/>
      <c r="R4" s="50" t="s">
        <v>1</v>
      </c>
      <c r="S4" s="49"/>
      <c r="T4" s="50" t="s">
        <v>1</v>
      </c>
      <c r="U4" s="49"/>
      <c r="V4" s="50" t="s">
        <v>1</v>
      </c>
      <c r="W4" s="49"/>
      <c r="X4" s="50" t="s">
        <v>1</v>
      </c>
      <c r="Y4" s="3"/>
    </row>
    <row r="5" spans="1:25" x14ac:dyDescent="0.25">
      <c r="A5" s="49"/>
      <c r="B5" s="50"/>
      <c r="C5" s="49"/>
      <c r="D5" s="50"/>
      <c r="E5" s="49"/>
      <c r="F5" s="50"/>
      <c r="G5" s="49"/>
      <c r="H5" s="50"/>
      <c r="I5" s="49"/>
      <c r="J5" s="50"/>
      <c r="K5" s="49"/>
      <c r="L5" s="50"/>
      <c r="M5" s="49"/>
      <c r="N5" s="50"/>
      <c r="O5" s="49"/>
      <c r="P5" s="50"/>
      <c r="Q5" s="49"/>
      <c r="R5" s="50"/>
      <c r="S5" s="49"/>
      <c r="T5" s="50"/>
      <c r="U5" s="49"/>
      <c r="V5" s="50"/>
      <c r="W5" s="49"/>
      <c r="X5" s="50"/>
      <c r="Y5" s="3"/>
    </row>
    <row r="6" spans="1:25" x14ac:dyDescent="0.25">
      <c r="A6" s="49"/>
      <c r="B6" s="50"/>
      <c r="C6" s="49"/>
      <c r="D6" s="50"/>
      <c r="E6" s="49"/>
      <c r="F6" s="50"/>
      <c r="G6" s="49"/>
      <c r="H6" s="50"/>
      <c r="I6" s="49"/>
      <c r="J6" s="50"/>
      <c r="K6" s="49"/>
      <c r="L6" s="50"/>
      <c r="M6" s="49"/>
      <c r="N6" s="50"/>
      <c r="O6" s="49"/>
      <c r="P6" s="50"/>
      <c r="Q6" s="49"/>
      <c r="R6" s="50"/>
      <c r="S6" s="49"/>
      <c r="T6" s="50"/>
      <c r="U6" s="49"/>
      <c r="V6" s="50"/>
      <c r="W6" s="49"/>
      <c r="X6" s="50"/>
      <c r="Y6" s="3"/>
    </row>
    <row r="7" spans="1:25" x14ac:dyDescent="0.25">
      <c r="A7" s="4">
        <v>44564</v>
      </c>
      <c r="B7" s="5" t="e">
        <f>'JAN 25%'!#REF!+'[1]JAN 25%'!P12</f>
        <v>#REF!</v>
      </c>
      <c r="C7" s="4">
        <v>44228</v>
      </c>
      <c r="D7" s="5">
        <f>'FEV 25% '!P12+'[1]FEV 25% '!$P$12</f>
        <v>11904.050000000003</v>
      </c>
      <c r="E7" s="6">
        <v>43892</v>
      </c>
      <c r="F7" s="5"/>
      <c r="G7" s="6">
        <v>43556</v>
      </c>
      <c r="H7" s="5"/>
      <c r="I7" s="6">
        <v>43955</v>
      </c>
      <c r="J7" s="5"/>
      <c r="K7" s="6">
        <v>43983</v>
      </c>
      <c r="L7" s="5"/>
      <c r="M7" s="6">
        <v>44013</v>
      </c>
      <c r="N7" s="5"/>
      <c r="O7" s="6"/>
      <c r="P7" s="5"/>
      <c r="Q7" s="6"/>
      <c r="R7" s="5"/>
      <c r="S7" s="6"/>
      <c r="T7" s="5"/>
      <c r="U7" s="6"/>
      <c r="V7" s="5"/>
      <c r="W7" s="6"/>
      <c r="X7" s="5"/>
      <c r="Y7" s="3"/>
    </row>
    <row r="8" spans="1:25" x14ac:dyDescent="0.25">
      <c r="A8" s="4">
        <v>44565</v>
      </c>
      <c r="B8" s="5">
        <f>'JAN 25%'!P14+'[1]JAN 25%'!P13</f>
        <v>801.41000000000008</v>
      </c>
      <c r="C8" s="7">
        <v>44229</v>
      </c>
      <c r="D8" s="5">
        <f>'FEV 25% '!P13+'[1]FEV 25% '!P13</f>
        <v>397.23</v>
      </c>
      <c r="E8" s="6">
        <v>43893</v>
      </c>
      <c r="F8" s="5"/>
      <c r="G8" s="6">
        <v>43557</v>
      </c>
      <c r="H8" s="5"/>
      <c r="I8" s="6">
        <v>43956</v>
      </c>
      <c r="J8" s="5"/>
      <c r="K8" s="6">
        <v>43984</v>
      </c>
      <c r="L8" s="5"/>
      <c r="M8" s="6">
        <v>44014</v>
      </c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3"/>
    </row>
    <row r="9" spans="1:25" x14ac:dyDescent="0.25">
      <c r="A9" s="4">
        <v>44566</v>
      </c>
      <c r="B9" s="5">
        <f>'JAN 25%'!P15+'[1]JAN 25%'!P14</f>
        <v>125.73</v>
      </c>
      <c r="C9" s="7">
        <v>44230</v>
      </c>
      <c r="D9" s="5">
        <f>'FEV 25% '!P14+'[1]FEV 25% '!P14</f>
        <v>65.75</v>
      </c>
      <c r="E9" s="6">
        <v>43894</v>
      </c>
      <c r="F9" s="5"/>
      <c r="G9" s="6">
        <v>43924</v>
      </c>
      <c r="H9" s="5"/>
      <c r="I9" s="6">
        <v>43958</v>
      </c>
      <c r="J9" s="5"/>
      <c r="K9" s="6">
        <v>43986</v>
      </c>
      <c r="L9" s="5"/>
      <c r="M9" s="6">
        <v>44015</v>
      </c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3"/>
    </row>
    <row r="10" spans="1:25" x14ac:dyDescent="0.25">
      <c r="A10" s="4">
        <v>44572</v>
      </c>
      <c r="B10" s="5">
        <f>'JAN 25%'!P16+'[1]JAN 25%'!P15</f>
        <v>725.37000000000012</v>
      </c>
      <c r="C10" s="7">
        <v>44599</v>
      </c>
      <c r="D10" s="5">
        <f>'FEV 25% '!P15+'[1]FEV 25% '!P15</f>
        <v>29.990000000000002</v>
      </c>
      <c r="E10" s="6">
        <v>43895</v>
      </c>
      <c r="F10" s="5"/>
      <c r="G10" s="6">
        <v>44050</v>
      </c>
      <c r="H10" s="5"/>
      <c r="I10" s="6">
        <v>43959</v>
      </c>
      <c r="J10" s="5"/>
      <c r="K10" s="6">
        <v>43987</v>
      </c>
      <c r="L10" s="5"/>
      <c r="M10" s="6">
        <v>44018</v>
      </c>
      <c r="N10" s="5"/>
      <c r="O10" s="6"/>
      <c r="P10" s="5"/>
      <c r="Q10" s="6"/>
      <c r="R10" s="5"/>
      <c r="S10" s="6"/>
      <c r="T10" s="5"/>
      <c r="U10" s="6"/>
      <c r="V10" s="5"/>
      <c r="W10" s="6"/>
      <c r="X10" s="5"/>
      <c r="Y10" s="3"/>
    </row>
    <row r="11" spans="1:25" x14ac:dyDescent="0.25">
      <c r="A11" s="7">
        <v>44573</v>
      </c>
      <c r="B11" s="5">
        <f>'JAN 25%'!P17+'[1]JAN 25%'!P16</f>
        <v>110.5</v>
      </c>
      <c r="C11" s="7">
        <v>44600</v>
      </c>
      <c r="D11" s="5">
        <f>'FEV 25% '!P16+'[1]FEV 25% '!P16</f>
        <v>444.92</v>
      </c>
      <c r="E11" s="8">
        <v>43899</v>
      </c>
      <c r="F11" s="5"/>
      <c r="G11" s="8">
        <v>43929</v>
      </c>
      <c r="H11" s="5"/>
      <c r="I11" s="8">
        <v>43962</v>
      </c>
      <c r="J11" s="5"/>
      <c r="K11" s="6">
        <v>43990</v>
      </c>
      <c r="L11" s="5"/>
      <c r="M11" s="6">
        <v>44022</v>
      </c>
      <c r="N11" s="5"/>
      <c r="O11" s="6"/>
      <c r="P11" s="5"/>
      <c r="Q11" s="6"/>
      <c r="R11" s="5"/>
      <c r="S11" s="6"/>
      <c r="T11" s="5"/>
      <c r="U11" s="6"/>
      <c r="V11" s="5"/>
      <c r="W11" s="6"/>
      <c r="X11" s="5"/>
      <c r="Y11" s="3"/>
    </row>
    <row r="12" spans="1:25" x14ac:dyDescent="0.25">
      <c r="A12" s="7">
        <v>44574</v>
      </c>
      <c r="B12" s="5" t="e">
        <f>'JAN 25%'!#REF!+'[1]JAN 25%'!P17</f>
        <v>#REF!</v>
      </c>
      <c r="C12" s="7">
        <v>44601</v>
      </c>
      <c r="D12" s="5">
        <f>'FEV 25% '!P17+'[1]FEV 25% '!P17</f>
        <v>328.47</v>
      </c>
      <c r="E12" s="8">
        <v>43901</v>
      </c>
      <c r="F12" s="5"/>
      <c r="G12" s="8">
        <v>43935</v>
      </c>
      <c r="H12" s="5"/>
      <c r="I12" s="8">
        <v>43963</v>
      </c>
      <c r="J12" s="5"/>
      <c r="K12" s="8">
        <v>43994</v>
      </c>
      <c r="L12" s="5"/>
      <c r="M12" s="8">
        <v>44025</v>
      </c>
      <c r="N12" s="5"/>
      <c r="O12" s="8"/>
      <c r="P12" s="5"/>
      <c r="Q12" s="8"/>
      <c r="R12" s="5"/>
      <c r="S12" s="8"/>
      <c r="T12" s="5"/>
      <c r="U12" s="8"/>
      <c r="V12" s="5"/>
      <c r="W12" s="8"/>
      <c r="X12" s="5"/>
      <c r="Y12" s="3"/>
    </row>
    <row r="13" spans="1:25" x14ac:dyDescent="0.25">
      <c r="A13" s="7">
        <v>44575</v>
      </c>
      <c r="B13" s="5" t="e">
        <f>'JAN 25%'!#REF!+'[1]JAN 25%'!P18</f>
        <v>#REF!</v>
      </c>
      <c r="C13" s="7">
        <v>44603</v>
      </c>
      <c r="D13" s="5">
        <f>'FEV 25% '!P18+'[1]FEV 25% '!P18</f>
        <v>734.58</v>
      </c>
      <c r="E13" s="8">
        <v>43902</v>
      </c>
      <c r="F13" s="5"/>
      <c r="G13" s="8">
        <v>43945</v>
      </c>
      <c r="H13" s="5"/>
      <c r="I13" s="8">
        <v>43965</v>
      </c>
      <c r="J13" s="5"/>
      <c r="K13" s="8">
        <v>43999</v>
      </c>
      <c r="L13" s="5"/>
      <c r="M13" s="8">
        <v>44028</v>
      </c>
      <c r="N13" s="5"/>
      <c r="O13" s="8"/>
      <c r="P13" s="5"/>
      <c r="Q13" s="8"/>
      <c r="R13" s="5"/>
      <c r="S13" s="8"/>
      <c r="T13" s="5"/>
      <c r="U13" s="8"/>
      <c r="V13" s="5"/>
      <c r="W13" s="8"/>
      <c r="X13" s="5"/>
      <c r="Y13" s="3"/>
    </row>
    <row r="14" spans="1:25" x14ac:dyDescent="0.25">
      <c r="A14" s="7">
        <v>44578</v>
      </c>
      <c r="B14" s="5">
        <f>'JAN 25%'!P20+'[1]JAN 25%'!P19</f>
        <v>439.77</v>
      </c>
      <c r="C14" s="7">
        <v>44607</v>
      </c>
      <c r="D14" s="5">
        <f>'FEV 25% '!P19+'[1]FEV 25% '!P19</f>
        <v>565.41999999999996</v>
      </c>
      <c r="E14" s="8">
        <v>43903</v>
      </c>
      <c r="F14" s="5"/>
      <c r="G14" s="8">
        <v>43948</v>
      </c>
      <c r="H14" s="5"/>
      <c r="I14" s="8">
        <v>43969</v>
      </c>
      <c r="J14" s="5"/>
      <c r="K14" s="8">
        <v>44000</v>
      </c>
      <c r="L14" s="5"/>
      <c r="M14" s="8">
        <v>44033</v>
      </c>
      <c r="N14" s="5"/>
      <c r="O14" s="8"/>
      <c r="P14" s="5"/>
      <c r="Q14" s="8"/>
      <c r="R14" s="5"/>
      <c r="S14" s="8"/>
      <c r="T14" s="5"/>
      <c r="U14" s="8"/>
      <c r="V14" s="5"/>
      <c r="W14" s="8"/>
      <c r="X14" s="5"/>
      <c r="Y14" s="3"/>
    </row>
    <row r="15" spans="1:25" x14ac:dyDescent="0.25">
      <c r="A15" s="7">
        <v>44579</v>
      </c>
      <c r="B15" s="5">
        <f>'JAN 25%'!P21+'[1]JAN 25%'!P20</f>
        <v>1045.72</v>
      </c>
      <c r="C15" s="7">
        <v>44608</v>
      </c>
      <c r="D15" s="5">
        <f>'FEV 25% '!P20+'[1]FEV 25% '!P20</f>
        <v>790.57</v>
      </c>
      <c r="E15" s="8">
        <v>43907</v>
      </c>
      <c r="F15" s="5"/>
      <c r="G15" s="8">
        <v>43949</v>
      </c>
      <c r="H15" s="5"/>
      <c r="I15" s="8">
        <v>43970</v>
      </c>
      <c r="J15" s="5"/>
      <c r="K15" s="8">
        <v>44004</v>
      </c>
      <c r="L15" s="5"/>
      <c r="M15" s="8">
        <v>44036</v>
      </c>
      <c r="N15" s="5"/>
      <c r="O15" s="8"/>
      <c r="P15" s="5"/>
      <c r="Q15" s="8"/>
      <c r="R15" s="5"/>
      <c r="S15" s="8"/>
      <c r="T15" s="5"/>
      <c r="U15" s="8"/>
      <c r="V15" s="5"/>
      <c r="W15" s="8"/>
      <c r="X15" s="5"/>
      <c r="Y15" s="3"/>
    </row>
    <row r="16" spans="1:25" x14ac:dyDescent="0.25">
      <c r="A16" s="7">
        <v>44580</v>
      </c>
      <c r="B16" s="5">
        <f>'JAN 25%'!P22+'[1]JAN 25%'!P21</f>
        <v>434.63000000000005</v>
      </c>
      <c r="C16" s="7">
        <v>44609</v>
      </c>
      <c r="D16" s="5">
        <f>'FEV 25% '!P21+'[1]FEV 25% '!P21</f>
        <v>76.160000000000025</v>
      </c>
      <c r="E16" s="8">
        <v>43908</v>
      </c>
      <c r="F16" s="5"/>
      <c r="G16" s="8">
        <v>43585</v>
      </c>
      <c r="H16" s="5"/>
      <c r="I16" s="8">
        <v>43977</v>
      </c>
      <c r="J16" s="5"/>
      <c r="K16" s="8"/>
      <c r="L16" s="5"/>
      <c r="M16" s="8">
        <v>44041</v>
      </c>
      <c r="N16" s="5"/>
      <c r="O16" s="8"/>
      <c r="P16" s="5"/>
      <c r="Q16" s="8"/>
      <c r="R16" s="5"/>
      <c r="S16" s="8"/>
      <c r="T16" s="5"/>
      <c r="U16" s="8"/>
      <c r="V16" s="5"/>
      <c r="W16" s="8"/>
      <c r="X16" s="5"/>
      <c r="Y16" s="3"/>
    </row>
    <row r="17" spans="1:25" x14ac:dyDescent="0.25">
      <c r="A17" s="7">
        <v>44581</v>
      </c>
      <c r="B17" s="5">
        <f>'JAN 25%'!P23+'[1]JAN 25%'!P22</f>
        <v>852.5200000000001</v>
      </c>
      <c r="C17" s="7">
        <v>44610</v>
      </c>
      <c r="D17" s="5">
        <f>'FEV 25% '!P22+'[1]FEV 25% '!P22</f>
        <v>232.78</v>
      </c>
      <c r="E17" s="8">
        <v>43921</v>
      </c>
      <c r="F17" s="5"/>
      <c r="G17" s="8"/>
      <c r="H17" s="5"/>
      <c r="I17" s="8">
        <v>43979</v>
      </c>
      <c r="J17" s="5"/>
      <c r="K17" s="8"/>
      <c r="L17" s="5"/>
      <c r="M17" s="8">
        <v>44042</v>
      </c>
      <c r="N17" s="5"/>
      <c r="O17" s="8"/>
      <c r="P17" s="5"/>
      <c r="Q17" s="8"/>
      <c r="R17" s="5"/>
      <c r="S17" s="8"/>
      <c r="T17" s="5"/>
      <c r="U17" s="8"/>
      <c r="V17" s="5"/>
      <c r="W17" s="8"/>
      <c r="X17" s="5"/>
      <c r="Y17" s="3"/>
    </row>
    <row r="18" spans="1:25" x14ac:dyDescent="0.25">
      <c r="A18" s="7">
        <v>44582</v>
      </c>
      <c r="B18" s="5">
        <f>'JAN 25%'!P27+'[1]JAN 25%'!P23</f>
        <v>92.98</v>
      </c>
      <c r="C18" s="7">
        <v>44613</v>
      </c>
      <c r="D18" s="5">
        <f>'FEV 25% '!P24+'[1]FEV 25% '!P23</f>
        <v>92.25</v>
      </c>
      <c r="E18" s="8"/>
      <c r="F18" s="5"/>
      <c r="G18" s="8"/>
      <c r="H18" s="5"/>
      <c r="I18" s="8">
        <v>43980</v>
      </c>
      <c r="J18" s="5"/>
      <c r="K18" s="8"/>
      <c r="L18" s="5"/>
      <c r="M18" s="8"/>
      <c r="N18" s="5"/>
      <c r="O18" s="8"/>
      <c r="P18" s="5"/>
      <c r="Q18" s="8"/>
      <c r="R18" s="5"/>
      <c r="S18" s="8"/>
      <c r="T18" s="5"/>
      <c r="U18" s="8"/>
      <c r="V18" s="5"/>
      <c r="W18" s="8"/>
      <c r="X18" s="5"/>
      <c r="Y18" s="3"/>
    </row>
    <row r="19" spans="1:25" x14ac:dyDescent="0.25">
      <c r="A19" s="7">
        <v>44586</v>
      </c>
      <c r="B19" s="5">
        <f>'JAN 25%'!P28+'[1]JAN 25%'!P24</f>
        <v>577.43000000000006</v>
      </c>
      <c r="C19" s="7">
        <v>44614</v>
      </c>
      <c r="D19" s="5" t="e">
        <f>'FEV 25% '!#REF!+'[1]FEV 25% '!P24</f>
        <v>#REF!</v>
      </c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8"/>
      <c r="R19" s="5"/>
      <c r="S19" s="8"/>
      <c r="T19" s="5"/>
      <c r="U19" s="8"/>
      <c r="V19" s="5"/>
      <c r="W19" s="8"/>
      <c r="X19" s="5"/>
      <c r="Y19" s="3"/>
    </row>
    <row r="20" spans="1:25" x14ac:dyDescent="0.25">
      <c r="A20" s="7">
        <v>44587</v>
      </c>
      <c r="B20" s="5">
        <f>'JAN 25%'!P29+'[1]JAN 25%'!P25</f>
        <v>488.57</v>
      </c>
      <c r="C20" s="7">
        <v>44615</v>
      </c>
      <c r="D20" s="5" t="e">
        <f>'FEV 25% '!#REF!+'[1]FEV 25% '!P25</f>
        <v>#REF!</v>
      </c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8"/>
      <c r="R20" s="5"/>
      <c r="S20" s="8"/>
      <c r="T20" s="5"/>
      <c r="U20" s="8"/>
      <c r="V20" s="5"/>
      <c r="W20" s="8"/>
      <c r="X20" s="5"/>
      <c r="Y20" s="3"/>
    </row>
    <row r="21" spans="1:25" x14ac:dyDescent="0.25">
      <c r="A21" s="7">
        <v>44588</v>
      </c>
      <c r="B21" s="5">
        <f>'JAN 25%'!P30+'[1]JAN 25%'!P26</f>
        <v>480.64</v>
      </c>
      <c r="C21" s="7">
        <v>44617</v>
      </c>
      <c r="D21" s="5" t="e">
        <f>'FEV 25% '!#REF!+'[1]FEV 25% '!P26</f>
        <v>#REF!</v>
      </c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8"/>
      <c r="R21" s="5"/>
      <c r="S21" s="8"/>
      <c r="T21" s="5"/>
      <c r="U21" s="8"/>
      <c r="V21" s="5"/>
      <c r="W21" s="8"/>
      <c r="X21" s="5"/>
      <c r="Y21" s="3"/>
    </row>
    <row r="22" spans="1:25" x14ac:dyDescent="0.25">
      <c r="A22" s="7">
        <v>44589</v>
      </c>
      <c r="B22" s="5" t="e">
        <f>'JAN 25%'!#REF!+'[1]JAN 25%'!P27</f>
        <v>#REF!</v>
      </c>
      <c r="C22" s="8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8"/>
      <c r="R22" s="5"/>
      <c r="S22" s="8"/>
      <c r="T22" s="5"/>
      <c r="U22" s="8"/>
      <c r="V22" s="5"/>
      <c r="W22" s="8"/>
      <c r="X22" s="5"/>
      <c r="Y22" s="3"/>
    </row>
    <row r="23" spans="1:25" x14ac:dyDescent="0.25">
      <c r="A23" s="7">
        <v>44592</v>
      </c>
      <c r="B23" s="5" t="e">
        <f>'JAN 25%'!#REF!+'[1]JAN 25%'!P28</f>
        <v>#REF!</v>
      </c>
      <c r="C23" s="8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8"/>
      <c r="R23" s="5"/>
      <c r="S23" s="8"/>
      <c r="T23" s="5"/>
      <c r="U23" s="8"/>
      <c r="V23" s="5"/>
      <c r="W23" s="8"/>
      <c r="X23" s="5"/>
      <c r="Y23" s="3"/>
    </row>
    <row r="24" spans="1:25" x14ac:dyDescent="0.25">
      <c r="A24" s="8"/>
      <c r="B24" s="5"/>
      <c r="C24" s="8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8"/>
      <c r="R24" s="5"/>
      <c r="S24" s="8"/>
      <c r="T24" s="5"/>
      <c r="U24" s="8"/>
      <c r="V24" s="5"/>
      <c r="W24" s="8"/>
      <c r="X24" s="5"/>
      <c r="Y24" s="3"/>
    </row>
    <row r="25" spans="1:25" x14ac:dyDescent="0.25">
      <c r="A25" s="9" t="s">
        <v>2</v>
      </c>
      <c r="B25" s="10" t="e">
        <f>SUM(B7:B24)</f>
        <v>#REF!</v>
      </c>
      <c r="C25" s="9" t="s">
        <v>2</v>
      </c>
      <c r="D25" s="10" t="e">
        <f>SUM(D7:D24)</f>
        <v>#REF!</v>
      </c>
      <c r="E25" s="9" t="s">
        <v>2</v>
      </c>
      <c r="F25" s="10">
        <f>SUM(F7:F24)</f>
        <v>0</v>
      </c>
      <c r="G25" s="9" t="s">
        <v>2</v>
      </c>
      <c r="H25" s="10">
        <f>SUM(H7:H24)</f>
        <v>0</v>
      </c>
      <c r="I25" s="9" t="s">
        <v>2</v>
      </c>
      <c r="J25" s="10">
        <f>SUM(J7:J24)</f>
        <v>0</v>
      </c>
      <c r="K25" s="9" t="s">
        <v>2</v>
      </c>
      <c r="L25" s="10">
        <f>SUM(L7:L24)</f>
        <v>0</v>
      </c>
      <c r="M25" s="9" t="s">
        <v>2</v>
      </c>
      <c r="N25" s="10">
        <f>SUM(N7:N24)</f>
        <v>0</v>
      </c>
      <c r="O25" s="9" t="s">
        <v>2</v>
      </c>
      <c r="P25" s="10">
        <f>SUM(P7:P24)</f>
        <v>0</v>
      </c>
      <c r="Q25" s="9" t="s">
        <v>2</v>
      </c>
      <c r="R25" s="10">
        <f>SUM(R7:R24)</f>
        <v>0</v>
      </c>
      <c r="S25" s="9" t="s">
        <v>2</v>
      </c>
      <c r="T25" s="10">
        <f>SUM(T7:T24)</f>
        <v>0</v>
      </c>
      <c r="U25" s="9" t="s">
        <v>2</v>
      </c>
      <c r="V25" s="10">
        <f>SUM(V7:V24)</f>
        <v>0</v>
      </c>
      <c r="W25" s="9" t="s">
        <v>2</v>
      </c>
      <c r="X25" s="11">
        <f>SUM(X7:X24)</f>
        <v>0</v>
      </c>
      <c r="Y25" s="12" t="e">
        <f>B25+D25+F25+H25+J25+L25+N25+P25+R25</f>
        <v>#REF!</v>
      </c>
    </row>
    <row r="27" spans="1:25" x14ac:dyDescent="0.25">
      <c r="A27" s="1" t="s">
        <v>3</v>
      </c>
      <c r="B27" s="13" t="e">
        <f>B25</f>
        <v>#REF!</v>
      </c>
    </row>
    <row r="28" spans="1:25" x14ac:dyDescent="0.25">
      <c r="A28" s="1" t="s">
        <v>4</v>
      </c>
      <c r="B28" s="13" t="e">
        <f>D25</f>
        <v>#REF!</v>
      </c>
    </row>
    <row r="29" spans="1:25" x14ac:dyDescent="0.25">
      <c r="A29" s="1" t="s">
        <v>5</v>
      </c>
      <c r="B29" s="13">
        <f>F25</f>
        <v>0</v>
      </c>
    </row>
    <row r="30" spans="1:25" x14ac:dyDescent="0.25">
      <c r="A30" s="1" t="s">
        <v>6</v>
      </c>
      <c r="B30" s="13">
        <f>H25</f>
        <v>0</v>
      </c>
    </row>
    <row r="31" spans="1:25" x14ac:dyDescent="0.25">
      <c r="A31" s="1" t="s">
        <v>7</v>
      </c>
      <c r="B31" s="13">
        <f>J25</f>
        <v>0</v>
      </c>
    </row>
    <row r="32" spans="1:25" x14ac:dyDescent="0.25">
      <c r="A32" s="1" t="s">
        <v>8</v>
      </c>
      <c r="B32" s="13">
        <f>L25</f>
        <v>0</v>
      </c>
    </row>
    <row r="33" spans="1:12" x14ac:dyDescent="0.25">
      <c r="A33" s="1" t="s">
        <v>9</v>
      </c>
      <c r="B33" s="13">
        <f>N25</f>
        <v>0</v>
      </c>
    </row>
    <row r="34" spans="1:12" x14ac:dyDescent="0.25">
      <c r="A34" s="1" t="s">
        <v>10</v>
      </c>
      <c r="B34" s="13">
        <f>P25</f>
        <v>0</v>
      </c>
    </row>
    <row r="35" spans="1:12" x14ac:dyDescent="0.25">
      <c r="A35" s="1" t="s">
        <v>11</v>
      </c>
      <c r="B35" s="13">
        <f>R25</f>
        <v>0</v>
      </c>
    </row>
    <row r="36" spans="1:12" x14ac:dyDescent="0.25">
      <c r="A36" s="1" t="s">
        <v>12</v>
      </c>
      <c r="B36" s="13">
        <f>T25</f>
        <v>0</v>
      </c>
    </row>
    <row r="37" spans="1:12" x14ac:dyDescent="0.25">
      <c r="A37" s="1" t="s">
        <v>13</v>
      </c>
      <c r="B37" s="13">
        <f>V25</f>
        <v>0</v>
      </c>
    </row>
    <row r="38" spans="1:12" x14ac:dyDescent="0.25">
      <c r="A38" s="1" t="s">
        <v>14</v>
      </c>
      <c r="B38" s="13">
        <f>X25</f>
        <v>0</v>
      </c>
    </row>
    <row r="42" spans="1:12" x14ac:dyDescent="0.25">
      <c r="L42" s="1">
        <v>0</v>
      </c>
    </row>
  </sheetData>
  <mergeCells count="48">
    <mergeCell ref="O2:P2"/>
    <mergeCell ref="Q2:R2"/>
    <mergeCell ref="S2:T2"/>
    <mergeCell ref="A2:B2"/>
    <mergeCell ref="C2:D2"/>
    <mergeCell ref="E2:F2"/>
    <mergeCell ref="G2:H2"/>
    <mergeCell ref="I2:J2"/>
    <mergeCell ref="U2:V2"/>
    <mergeCell ref="W2:X2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K2:L2"/>
    <mergeCell ref="M2:N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U4:U6"/>
    <mergeCell ref="V4:V6"/>
    <mergeCell ref="W4:W6"/>
    <mergeCell ref="X4:X6"/>
    <mergeCell ref="P4:P6"/>
    <mergeCell ref="Q4:Q6"/>
    <mergeCell ref="R4:R6"/>
    <mergeCell ref="S4:S6"/>
    <mergeCell ref="T4:T6"/>
  </mergeCells>
  <pageMargins left="0" right="0" top="0.196527777777778" bottom="0" header="0.511811023622047" footer="0.511811023622047"/>
  <pageSetup paperSize="9" scale="6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46"/>
  <sheetViews>
    <sheetView topLeftCell="A4" zoomScaleNormal="100" workbookViewId="0">
      <pane xSplit="1" ySplit="8" topLeftCell="B27" activePane="bottomRight" state="frozen"/>
      <selection activeCell="A4" sqref="A4"/>
      <selection pane="topRight" activeCell="B4" sqref="B4"/>
      <selection pane="bottomLeft" activeCell="A25" sqref="A25"/>
      <selection pane="bottomRight" activeCell="P43" sqref="A4:P43"/>
    </sheetView>
  </sheetViews>
  <sheetFormatPr defaultColWidth="9.140625" defaultRowHeight="11.25" x14ac:dyDescent="0.2"/>
  <cols>
    <col min="1" max="1" width="8.7109375" style="2" customWidth="1"/>
    <col min="2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8" ht="12.75" x14ac:dyDescent="0.2">
      <c r="A5" s="42" t="s">
        <v>33</v>
      </c>
    </row>
    <row r="7" spans="1:18" ht="12" x14ac:dyDescent="0.2">
      <c r="A7" s="57">
        <v>45292</v>
      </c>
      <c r="B7" s="57"/>
      <c r="D7" s="14"/>
      <c r="E7" s="14"/>
      <c r="F7" s="14"/>
      <c r="G7" s="14"/>
      <c r="H7" s="14"/>
    </row>
    <row r="9" spans="1:18" ht="15" customHeight="1" x14ac:dyDescent="0.2">
      <c r="A9" s="58"/>
      <c r="B9" s="56" t="s">
        <v>40</v>
      </c>
      <c r="C9" s="56" t="s">
        <v>16</v>
      </c>
      <c r="D9" s="56" t="s">
        <v>41</v>
      </c>
      <c r="E9" s="56" t="s">
        <v>17</v>
      </c>
      <c r="F9" s="56" t="s">
        <v>18</v>
      </c>
      <c r="G9" s="56" t="s">
        <v>19</v>
      </c>
      <c r="H9" s="56" t="s">
        <v>20</v>
      </c>
      <c r="I9" s="56" t="s">
        <v>21</v>
      </c>
      <c r="J9" s="56" t="s">
        <v>22</v>
      </c>
      <c r="K9" s="56" t="s">
        <v>23</v>
      </c>
      <c r="L9" s="56" t="s">
        <v>24</v>
      </c>
      <c r="M9" s="53" t="s">
        <v>25</v>
      </c>
      <c r="N9" s="53" t="s">
        <v>26</v>
      </c>
      <c r="O9" s="53" t="s">
        <v>27</v>
      </c>
      <c r="P9" s="54" t="s">
        <v>1</v>
      </c>
    </row>
    <row r="10" spans="1:18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3"/>
      <c r="N10" s="53"/>
      <c r="O10" s="53"/>
      <c r="P10" s="54"/>
    </row>
    <row r="11" spans="1:18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3"/>
      <c r="N11" s="53"/>
      <c r="O11" s="53"/>
      <c r="P11" s="54"/>
    </row>
    <row r="12" spans="1:18" ht="24" customHeight="1" x14ac:dyDescent="0.2">
      <c r="A12" s="15">
        <v>44927</v>
      </c>
      <c r="B12" s="16"/>
      <c r="C12" s="16"/>
      <c r="D12" s="16"/>
      <c r="E12" s="16"/>
      <c r="F12" s="16"/>
      <c r="G12" s="16"/>
      <c r="H12" s="16"/>
      <c r="I12" s="16"/>
      <c r="K12" s="16"/>
      <c r="L12" s="16"/>
      <c r="M12" s="17"/>
      <c r="N12" s="17"/>
      <c r="O12" s="17"/>
      <c r="P12" s="5">
        <f>SUM(B12:L12)</f>
        <v>0</v>
      </c>
      <c r="R12" s="43"/>
    </row>
    <row r="13" spans="1:18" ht="24" customHeight="1" x14ac:dyDescent="0.2">
      <c r="A13" s="15">
        <v>44928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ref="P13:P42" si="0">SUM(B13:L13)</f>
        <v>0</v>
      </c>
      <c r="R13" s="43"/>
    </row>
    <row r="14" spans="1:18" ht="24" customHeight="1" x14ac:dyDescent="0.2">
      <c r="A14" s="15">
        <v>44929</v>
      </c>
      <c r="B14" s="16">
        <f>128.88+128.88+128.88</f>
        <v>386.64</v>
      </c>
      <c r="C14" s="16">
        <f>51.8+7.22+11.86+11.89+18.58</f>
        <v>101.35</v>
      </c>
      <c r="D14" s="16"/>
      <c r="E14" s="16"/>
      <c r="F14" s="16"/>
      <c r="G14" s="16"/>
      <c r="H14" s="16"/>
      <c r="I14" s="16"/>
      <c r="J14" s="16">
        <f>0.62+0.62</f>
        <v>1.24</v>
      </c>
      <c r="K14" s="16"/>
      <c r="L14" s="16"/>
      <c r="M14" s="17"/>
      <c r="N14" s="17"/>
      <c r="O14" s="17"/>
      <c r="P14" s="5">
        <f t="shared" si="0"/>
        <v>489.23</v>
      </c>
      <c r="R14" s="43"/>
    </row>
    <row r="15" spans="1:18" ht="24" customHeight="1" x14ac:dyDescent="0.2">
      <c r="A15" s="15">
        <v>44930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8" ht="24" customHeight="1" x14ac:dyDescent="0.2">
      <c r="A16" s="15">
        <v>44931</v>
      </c>
      <c r="B16" s="18">
        <f>128.88+128.88+128.88+128.88+30.32</f>
        <v>545.84</v>
      </c>
      <c r="C16" s="18">
        <f>35.84</f>
        <v>35.840000000000003</v>
      </c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581.68000000000006</v>
      </c>
    </row>
    <row r="17" spans="1:16" ht="24" customHeight="1" x14ac:dyDescent="0.2">
      <c r="A17" s="15">
        <v>44932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44933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44934</v>
      </c>
      <c r="B19" s="18">
        <f>128.88</f>
        <v>128.88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128.88</v>
      </c>
    </row>
    <row r="20" spans="1:16" ht="24" customHeight="1" x14ac:dyDescent="0.2">
      <c r="A20" s="15">
        <v>44935</v>
      </c>
      <c r="B20" s="18">
        <f>64.44</f>
        <v>64.44</v>
      </c>
      <c r="C20" s="18">
        <f>151.15</f>
        <v>151.15</v>
      </c>
      <c r="D20" s="18"/>
      <c r="E20" s="18"/>
      <c r="F20" s="18"/>
      <c r="G20" s="18"/>
      <c r="H20" s="18"/>
      <c r="I20" s="18"/>
      <c r="J20" s="18">
        <f>0.62</f>
        <v>0.62</v>
      </c>
      <c r="K20" s="18"/>
      <c r="L20" s="18"/>
      <c r="M20" s="17"/>
      <c r="N20" s="17"/>
      <c r="O20" s="17"/>
      <c r="P20" s="5">
        <f t="shared" si="0"/>
        <v>216.21</v>
      </c>
    </row>
    <row r="21" spans="1:16" ht="24" customHeight="1" x14ac:dyDescent="0.2">
      <c r="A21" s="15">
        <v>44936</v>
      </c>
      <c r="B21" s="18">
        <f>128.88+128.88+30.32+128.88</f>
        <v>416.96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416.96</v>
      </c>
    </row>
    <row r="22" spans="1:16" ht="24" customHeight="1" x14ac:dyDescent="0.2">
      <c r="A22" s="15">
        <v>44937</v>
      </c>
      <c r="B22" s="18">
        <f>128.88</f>
        <v>128.88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128.88</v>
      </c>
    </row>
    <row r="23" spans="1:16" ht="24" customHeight="1" x14ac:dyDescent="0.2">
      <c r="A23" s="15">
        <v>44938</v>
      </c>
      <c r="B23" s="18">
        <f>75.81</f>
        <v>75.81</v>
      </c>
      <c r="C23" s="18"/>
      <c r="D23" s="18">
        <f>359.93</f>
        <v>359.93</v>
      </c>
      <c r="E23" s="18"/>
      <c r="F23" s="18">
        <f>21.12</f>
        <v>21.12</v>
      </c>
      <c r="G23" s="18"/>
      <c r="H23" s="18">
        <f>21.12</f>
        <v>21.12</v>
      </c>
      <c r="I23" s="18"/>
      <c r="J23" s="18"/>
      <c r="K23" s="18">
        <f>39.2</f>
        <v>39.200000000000003</v>
      </c>
      <c r="L23" s="18"/>
      <c r="M23" s="17"/>
      <c r="N23" s="17"/>
      <c r="O23" s="17"/>
      <c r="P23" s="5">
        <f t="shared" si="0"/>
        <v>517.18000000000006</v>
      </c>
    </row>
    <row r="24" spans="1:16" ht="24" customHeight="1" x14ac:dyDescent="0.2">
      <c r="A24" s="15">
        <v>44939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0</v>
      </c>
    </row>
    <row r="25" spans="1:16" ht="24" customHeight="1" x14ac:dyDescent="0.2">
      <c r="A25" s="15">
        <v>44940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0</v>
      </c>
    </row>
    <row r="26" spans="1:16" ht="24" customHeight="1" x14ac:dyDescent="0.2">
      <c r="A26" s="15">
        <v>44941</v>
      </c>
      <c r="B26" s="18">
        <f>30.32+128.88</f>
        <v>159.19999999999999</v>
      </c>
      <c r="C26" s="18"/>
      <c r="D26" s="18">
        <f>210.7</f>
        <v>210.7</v>
      </c>
      <c r="E26" s="18"/>
      <c r="F26" s="18"/>
      <c r="G26" s="18">
        <f>63.7</f>
        <v>63.7</v>
      </c>
      <c r="H26" s="18"/>
      <c r="I26" s="18"/>
      <c r="J26" s="18"/>
      <c r="K26" s="18">
        <f>39.2</f>
        <v>39.200000000000003</v>
      </c>
      <c r="L26" s="18"/>
      <c r="M26" s="17"/>
      <c r="N26" s="17"/>
      <c r="O26" s="17"/>
      <c r="P26" s="5">
        <f t="shared" si="0"/>
        <v>472.79999999999995</v>
      </c>
    </row>
    <row r="27" spans="1:16" ht="24" customHeight="1" x14ac:dyDescent="0.2">
      <c r="A27" s="15">
        <v>44942</v>
      </c>
      <c r="B27" s="18"/>
      <c r="C27" s="18">
        <f>12.83+13.43</f>
        <v>26.259999999999998</v>
      </c>
      <c r="D27" s="18"/>
      <c r="E27" s="18"/>
      <c r="F27" s="18"/>
      <c r="G27" s="18"/>
      <c r="H27" s="18"/>
      <c r="I27" s="18">
        <f>0.6</f>
        <v>0.6</v>
      </c>
      <c r="J27" s="18">
        <f>0.62</f>
        <v>0.62</v>
      </c>
      <c r="K27" s="18">
        <f>39.2</f>
        <v>39.200000000000003</v>
      </c>
      <c r="L27" s="18"/>
      <c r="M27" s="17"/>
      <c r="N27" s="17"/>
      <c r="O27" s="17"/>
      <c r="P27" s="5">
        <f t="shared" si="0"/>
        <v>66.680000000000007</v>
      </c>
    </row>
    <row r="28" spans="1:16" ht="24" customHeight="1" x14ac:dyDescent="0.2">
      <c r="A28" s="15">
        <v>44943</v>
      </c>
      <c r="B28" s="18">
        <f>128.88</f>
        <v>128.88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128.88</v>
      </c>
    </row>
    <row r="29" spans="1:16" ht="24" customHeight="1" x14ac:dyDescent="0.2">
      <c r="A29" s="15">
        <v>44944</v>
      </c>
      <c r="B29" s="18">
        <f>128.88+75.81</f>
        <v>204.69</v>
      </c>
      <c r="C29" s="18"/>
      <c r="D29" s="18"/>
      <c r="E29" s="18"/>
      <c r="F29" s="18">
        <f>21.12</f>
        <v>21.12</v>
      </c>
      <c r="G29" s="18"/>
      <c r="H29" s="18"/>
      <c r="I29" s="18"/>
      <c r="J29" s="18"/>
      <c r="K29" s="18">
        <f>39.2</f>
        <v>39.200000000000003</v>
      </c>
      <c r="L29" s="18"/>
      <c r="M29" s="17"/>
      <c r="N29" s="17"/>
      <c r="O29" s="17"/>
      <c r="P29" s="5">
        <f t="shared" si="0"/>
        <v>265.01</v>
      </c>
    </row>
    <row r="30" spans="1:16" ht="24" customHeight="1" x14ac:dyDescent="0.2">
      <c r="A30" s="15">
        <v>44945</v>
      </c>
      <c r="B30" s="18">
        <f>128.88</f>
        <v>128.88</v>
      </c>
      <c r="C30" s="18"/>
      <c r="D30" s="18"/>
      <c r="E30" s="18">
        <f>72.33</f>
        <v>72.33</v>
      </c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201.82999999999998</v>
      </c>
    </row>
    <row r="31" spans="1:16" ht="24" customHeight="1" x14ac:dyDescent="0.2">
      <c r="A31" s="15">
        <v>44946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7"/>
      <c r="N31" s="17"/>
      <c r="O31" s="17"/>
      <c r="P31" s="5">
        <f t="shared" si="0"/>
        <v>0</v>
      </c>
    </row>
    <row r="32" spans="1:16" ht="24" customHeight="1" x14ac:dyDescent="0.2">
      <c r="A32" s="15">
        <v>44947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7"/>
      <c r="N32" s="17"/>
      <c r="O32" s="17"/>
      <c r="P32" s="5">
        <f t="shared" si="0"/>
        <v>0</v>
      </c>
    </row>
    <row r="33" spans="1:19" ht="24" customHeight="1" x14ac:dyDescent="0.2">
      <c r="A33" s="15">
        <v>44948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7"/>
      <c r="N33" s="17"/>
      <c r="O33" s="17"/>
      <c r="P33" s="5">
        <f t="shared" si="0"/>
        <v>0</v>
      </c>
    </row>
    <row r="34" spans="1:19" ht="24" customHeight="1" x14ac:dyDescent="0.2">
      <c r="A34" s="15">
        <v>44949</v>
      </c>
      <c r="B34" s="18">
        <f>128.88</f>
        <v>128.88</v>
      </c>
      <c r="C34" s="18">
        <f>47.74</f>
        <v>47.74</v>
      </c>
      <c r="D34" s="18"/>
      <c r="E34" s="18"/>
      <c r="F34" s="18"/>
      <c r="G34" s="18"/>
      <c r="H34" s="18"/>
      <c r="I34" s="18"/>
      <c r="J34" s="18">
        <f>0.62</f>
        <v>0.62</v>
      </c>
      <c r="K34" s="18"/>
      <c r="L34" s="18"/>
      <c r="M34" s="17"/>
      <c r="N34" s="17"/>
      <c r="O34" s="17"/>
      <c r="P34" s="5">
        <f t="shared" si="0"/>
        <v>177.24</v>
      </c>
    </row>
    <row r="35" spans="1:19" ht="24" customHeight="1" x14ac:dyDescent="0.2">
      <c r="A35" s="15">
        <v>44950</v>
      </c>
      <c r="B35" s="18"/>
      <c r="C35" s="18">
        <f>151.15+136.91+137.94+138.35+134.58+135.38+9.94+1.28+7.78+8.09+6.94+2.52+9.14</f>
        <v>880.00000000000011</v>
      </c>
      <c r="D35" s="18"/>
      <c r="E35" s="18"/>
      <c r="F35" s="18"/>
      <c r="G35" s="18"/>
      <c r="H35" s="18"/>
      <c r="I35" s="18">
        <f>2.84+1.92</f>
        <v>4.76</v>
      </c>
      <c r="J35" s="18">
        <f>0.62+0.62</f>
        <v>1.24</v>
      </c>
      <c r="K35" s="18"/>
      <c r="L35" s="18"/>
      <c r="M35" s="17"/>
      <c r="N35" s="17"/>
      <c r="O35" s="17"/>
      <c r="P35" s="5">
        <f t="shared" si="0"/>
        <v>886.00000000000011</v>
      </c>
    </row>
    <row r="36" spans="1:19" ht="24" customHeight="1" x14ac:dyDescent="0.2">
      <c r="A36" s="15">
        <v>44951</v>
      </c>
      <c r="B36" s="18">
        <f>75.81</f>
        <v>75.81</v>
      </c>
      <c r="C36" s="18"/>
      <c r="D36" s="18">
        <f>359.93</f>
        <v>359.93</v>
      </c>
      <c r="E36" s="18"/>
      <c r="F36" s="18">
        <f>21.12</f>
        <v>21.12</v>
      </c>
      <c r="G36" s="18"/>
      <c r="H36" s="18">
        <f>21.12</f>
        <v>21.12</v>
      </c>
      <c r="I36" s="18"/>
      <c r="J36" s="18"/>
      <c r="K36" s="18"/>
      <c r="L36" s="18"/>
      <c r="M36" s="17"/>
      <c r="N36" s="17"/>
      <c r="O36" s="17"/>
      <c r="P36" s="5">
        <f t="shared" si="0"/>
        <v>477.98</v>
      </c>
    </row>
    <row r="37" spans="1:19" ht="24" customHeight="1" x14ac:dyDescent="0.2">
      <c r="A37" s="15">
        <v>44952</v>
      </c>
      <c r="B37" s="18">
        <f>75.81</f>
        <v>75.81</v>
      </c>
      <c r="C37" s="18"/>
      <c r="D37" s="18">
        <f>179.1</f>
        <v>179.1</v>
      </c>
      <c r="E37" s="18"/>
      <c r="F37" s="18">
        <f>21.12+21.12</f>
        <v>42.24</v>
      </c>
      <c r="G37" s="18"/>
      <c r="H37" s="18">
        <f>21.12</f>
        <v>21.12</v>
      </c>
      <c r="I37" s="18"/>
      <c r="J37" s="18"/>
      <c r="K37" s="18">
        <f>39.2</f>
        <v>39.200000000000003</v>
      </c>
      <c r="L37" s="18"/>
      <c r="M37" s="17"/>
      <c r="N37" s="17"/>
      <c r="O37" s="17"/>
      <c r="P37" s="5">
        <f t="shared" si="0"/>
        <v>357.46999999999997</v>
      </c>
    </row>
    <row r="38" spans="1:19" ht="24" customHeight="1" x14ac:dyDescent="0.2">
      <c r="A38" s="15">
        <v>44953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7"/>
      <c r="N38" s="17"/>
      <c r="O38" s="17"/>
      <c r="P38" s="5">
        <f t="shared" si="0"/>
        <v>0</v>
      </c>
    </row>
    <row r="39" spans="1:19" ht="24" customHeight="1" x14ac:dyDescent="0.2">
      <c r="A39" s="15">
        <v>44954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7"/>
      <c r="N39" s="17"/>
      <c r="O39" s="17"/>
      <c r="P39" s="5">
        <f t="shared" si="0"/>
        <v>0</v>
      </c>
    </row>
    <row r="40" spans="1:19" ht="24" customHeight="1" x14ac:dyDescent="0.2">
      <c r="A40" s="15">
        <v>44955</v>
      </c>
      <c r="B40" s="18">
        <f>128.88</f>
        <v>128.88</v>
      </c>
      <c r="C40" s="18"/>
      <c r="D40" s="18">
        <f>359.93+359.93</f>
        <v>719.86</v>
      </c>
      <c r="E40" s="18">
        <f>24.88+24.01+21.9+18.9+19.4+13.58+26.51</f>
        <v>149.18</v>
      </c>
      <c r="F40" s="18"/>
      <c r="G40" s="18"/>
      <c r="H40" s="18"/>
      <c r="I40" s="18"/>
      <c r="J40" s="18">
        <f>0.62</f>
        <v>0.62</v>
      </c>
      <c r="K40" s="18"/>
      <c r="L40" s="18"/>
      <c r="M40" s="17"/>
      <c r="N40" s="17"/>
      <c r="O40" s="17"/>
      <c r="P40" s="5">
        <f t="shared" si="0"/>
        <v>998.54000000000008</v>
      </c>
    </row>
    <row r="41" spans="1:19" ht="24" customHeight="1" x14ac:dyDescent="0.2">
      <c r="A41" s="15">
        <v>44956</v>
      </c>
      <c r="B41" s="18">
        <f>128.88+128.88+128.88+128.88+30.32</f>
        <v>545.84</v>
      </c>
      <c r="C41" s="18">
        <f>23.91+23.64+24.2+24.09</f>
        <v>95.84</v>
      </c>
      <c r="D41" s="18">
        <f>179.1+179.1</f>
        <v>358.2</v>
      </c>
      <c r="E41" s="18">
        <f>21.9+18.9</f>
        <v>40.799999999999997</v>
      </c>
      <c r="F41" s="18"/>
      <c r="G41" s="18"/>
      <c r="H41" s="18"/>
      <c r="I41" s="18"/>
      <c r="J41" s="18">
        <f>0.62+0.62</f>
        <v>1.24</v>
      </c>
      <c r="K41" s="18"/>
      <c r="L41" s="18"/>
      <c r="M41" s="17"/>
      <c r="N41" s="17"/>
      <c r="O41" s="17"/>
      <c r="P41" s="5">
        <f t="shared" si="0"/>
        <v>1041.92</v>
      </c>
    </row>
    <row r="42" spans="1:19" ht="24" customHeight="1" x14ac:dyDescent="0.2">
      <c r="A42" s="15">
        <v>44957</v>
      </c>
      <c r="B42" s="18">
        <f>128.88+30.32+128.88+30.32+30.32+128.88+128.88+128.88+128.88+30.32+128.88</f>
        <v>1023.44</v>
      </c>
      <c r="C42" s="18"/>
      <c r="D42" s="18">
        <f>359.93+84.69</f>
        <v>444.62</v>
      </c>
      <c r="E42" s="18"/>
      <c r="F42" s="18"/>
      <c r="G42" s="18"/>
      <c r="H42" s="18"/>
      <c r="I42" s="18"/>
      <c r="J42" s="18"/>
      <c r="K42" s="18"/>
      <c r="L42" s="18"/>
      <c r="M42" s="17"/>
      <c r="N42" s="17"/>
      <c r="O42" s="17"/>
      <c r="P42" s="5">
        <f t="shared" si="0"/>
        <v>1468.06</v>
      </c>
    </row>
    <row r="43" spans="1:19" ht="24" customHeight="1" x14ac:dyDescent="0.2">
      <c r="A43" s="19" t="s">
        <v>2</v>
      </c>
      <c r="B43" s="20">
        <f t="shared" ref="B43:P43" si="1">SUM(B14:B42)</f>
        <v>4347.76</v>
      </c>
      <c r="C43" s="20">
        <f t="shared" si="1"/>
        <v>1338.18</v>
      </c>
      <c r="D43" s="20">
        <f t="shared" si="1"/>
        <v>2632.3399999999997</v>
      </c>
      <c r="E43" s="20">
        <f t="shared" si="1"/>
        <v>262.31</v>
      </c>
      <c r="F43" s="20">
        <f t="shared" si="1"/>
        <v>105.6</v>
      </c>
      <c r="G43" s="20">
        <f t="shared" si="1"/>
        <v>63.7</v>
      </c>
      <c r="H43" s="20">
        <f t="shared" si="1"/>
        <v>63.36</v>
      </c>
      <c r="I43" s="20">
        <f t="shared" si="1"/>
        <v>5.3599999999999994</v>
      </c>
      <c r="J43" s="20">
        <f t="shared" si="1"/>
        <v>6.82</v>
      </c>
      <c r="K43" s="20">
        <f t="shared" si="1"/>
        <v>196</v>
      </c>
      <c r="L43" s="20">
        <f t="shared" si="1"/>
        <v>0</v>
      </c>
      <c r="M43" s="20">
        <f t="shared" si="1"/>
        <v>0</v>
      </c>
      <c r="N43" s="20">
        <f t="shared" si="1"/>
        <v>0</v>
      </c>
      <c r="O43" s="20">
        <f t="shared" si="1"/>
        <v>0</v>
      </c>
      <c r="P43" s="23">
        <f t="shared" si="1"/>
        <v>9021.43</v>
      </c>
      <c r="S43" s="43"/>
    </row>
    <row r="44" spans="1:19" ht="12.75" customHeight="1" x14ac:dyDescent="0.2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55" t="s">
        <v>42</v>
      </c>
      <c r="M44" s="55"/>
      <c r="N44" s="55"/>
      <c r="O44" s="55"/>
      <c r="P44" s="55"/>
    </row>
    <row r="45" spans="1:19" ht="24" customHeight="1" x14ac:dyDescent="0.2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6"/>
    </row>
    <row r="46" spans="1:19" ht="24" customHeight="1" x14ac:dyDescent="0.2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L44:P44"/>
    <mergeCell ref="J9:J11"/>
    <mergeCell ref="K9:K11"/>
    <mergeCell ref="L9:L11"/>
    <mergeCell ref="M9:M11"/>
    <mergeCell ref="N9:N11"/>
  </mergeCells>
  <printOptions horizontalCentered="1" verticalCentered="1"/>
  <pageMargins left="0.25" right="0.25" top="0.75" bottom="0.75" header="0.3" footer="0.3"/>
  <pageSetup paperSize="9" scale="76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1"/>
  <sheetViews>
    <sheetView tabSelected="1" topLeftCell="A4" zoomScaleNormal="100" workbookViewId="0">
      <pane xSplit="1" ySplit="8" topLeftCell="B25" activePane="bottomRight" state="frozen"/>
      <selection activeCell="A4" sqref="A4"/>
      <selection pane="topRight" activeCell="B4" sqref="B4"/>
      <selection pane="bottomLeft" activeCell="A25" sqref="A25"/>
      <selection pane="bottomRight" activeCell="J41" sqref="J41"/>
    </sheetView>
  </sheetViews>
  <sheetFormatPr defaultColWidth="9.140625" defaultRowHeight="11.25" x14ac:dyDescent="0.2"/>
  <cols>
    <col min="1" max="1" width="8.85546875" style="2" customWidth="1"/>
    <col min="2" max="3" width="8.42578125" style="2" customWidth="1"/>
    <col min="4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7" width="9.5703125" style="2" customWidth="1"/>
    <col min="18" max="16384" width="9.140625" style="2"/>
  </cols>
  <sheetData>
    <row r="2" spans="1:17" x14ac:dyDescent="0.2">
      <c r="A2" s="2" t="s">
        <v>15</v>
      </c>
    </row>
    <row r="5" spans="1:17" ht="12.75" x14ac:dyDescent="0.2">
      <c r="A5" s="42" t="s">
        <v>33</v>
      </c>
    </row>
    <row r="7" spans="1:17" ht="12" x14ac:dyDescent="0.2">
      <c r="A7" s="57">
        <v>45323</v>
      </c>
      <c r="B7" s="57"/>
      <c r="D7" s="14"/>
      <c r="E7" s="14"/>
      <c r="F7" s="14"/>
      <c r="G7" s="14"/>
      <c r="H7" s="14"/>
    </row>
    <row r="9" spans="1:17" ht="15" customHeight="1" x14ac:dyDescent="0.2">
      <c r="A9" s="58"/>
      <c r="B9" s="56" t="s">
        <v>40</v>
      </c>
      <c r="C9" s="56" t="s">
        <v>16</v>
      </c>
      <c r="D9" s="56" t="s">
        <v>41</v>
      </c>
      <c r="E9" s="56" t="s">
        <v>17</v>
      </c>
      <c r="F9" s="56" t="s">
        <v>18</v>
      </c>
      <c r="G9" s="56" t="s">
        <v>19</v>
      </c>
      <c r="H9" s="56" t="s">
        <v>20</v>
      </c>
      <c r="I9" s="56" t="s">
        <v>21</v>
      </c>
      <c r="J9" s="56" t="s">
        <v>22</v>
      </c>
      <c r="K9" s="56" t="s">
        <v>23</v>
      </c>
      <c r="L9" s="56" t="s">
        <v>24</v>
      </c>
      <c r="M9" s="53" t="s">
        <v>25</v>
      </c>
      <c r="N9" s="53" t="s">
        <v>26</v>
      </c>
      <c r="O9" s="53" t="s">
        <v>27</v>
      </c>
      <c r="P9" s="54" t="s">
        <v>1</v>
      </c>
    </row>
    <row r="10" spans="1:17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3"/>
      <c r="N10" s="53"/>
      <c r="O10" s="53"/>
      <c r="P10" s="54"/>
    </row>
    <row r="11" spans="1:17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3"/>
      <c r="N11" s="53"/>
      <c r="O11" s="53"/>
      <c r="P11" s="54"/>
    </row>
    <row r="12" spans="1:17" ht="23.25" customHeight="1" x14ac:dyDescent="0.2">
      <c r="A12" s="15">
        <v>45323</v>
      </c>
      <c r="B12" s="16">
        <f>30.32+128.88+128.88+128.88+128.88+128.88+128.88+128.88+128.88+30.32+128.88+30.32+128.88+128.88+30.32+128.88+128.88+128.88+30.32+30.32+30.32+128.88+15.16+128.88+30.32+128.88+128.88+128.88+128.88+30.32+30.32+30.32+128.88+128.88+30.32+30.32</f>
        <v>3244.6800000000012</v>
      </c>
      <c r="C12" s="16"/>
      <c r="D12" s="16">
        <f>359.93+179.1+359.93+179.1+84.69+84.69+84.69+84.69+359.93+84.69</f>
        <v>1861.4400000000003</v>
      </c>
      <c r="E12" s="16">
        <f>49.7+50.9</f>
        <v>100.6</v>
      </c>
      <c r="F12" s="16"/>
      <c r="G12" s="16"/>
      <c r="H12" s="16"/>
      <c r="I12" s="16"/>
      <c r="J12" s="2">
        <f>0.62</f>
        <v>0.62</v>
      </c>
      <c r="K12" s="16"/>
      <c r="L12" s="16"/>
      <c r="M12" s="17"/>
      <c r="N12" s="17"/>
      <c r="O12" s="17"/>
      <c r="P12" s="5">
        <f>SUM(B12:L12)</f>
        <v>5207.340000000002</v>
      </c>
      <c r="Q12" s="28"/>
    </row>
    <row r="13" spans="1:17" ht="24" customHeight="1" x14ac:dyDescent="0.2">
      <c r="A13" s="15">
        <v>45324</v>
      </c>
      <c r="B13" s="16">
        <f>75.81</f>
        <v>75.81</v>
      </c>
      <c r="C13" s="16"/>
      <c r="D13" s="16">
        <f>189.63</f>
        <v>189.63</v>
      </c>
      <c r="E13" s="16"/>
      <c r="F13" s="16">
        <f>21.12</f>
        <v>21.12</v>
      </c>
      <c r="G13" s="16"/>
      <c r="H13" s="16">
        <f>21.12</f>
        <v>21.12</v>
      </c>
      <c r="I13" s="16"/>
      <c r="J13" s="16"/>
      <c r="K13" s="16"/>
      <c r="L13" s="16"/>
      <c r="M13" s="17"/>
      <c r="N13" s="17"/>
      <c r="O13" s="17"/>
      <c r="P13" s="5">
        <f t="shared" ref="P13:P40" si="0">SUM(B13:L13)</f>
        <v>307.68</v>
      </c>
      <c r="Q13" s="28"/>
    </row>
    <row r="14" spans="1:17" ht="24" customHeight="1" x14ac:dyDescent="0.2">
      <c r="A14" s="15">
        <v>45325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5">
        <f t="shared" si="0"/>
        <v>0</v>
      </c>
      <c r="Q14" s="28"/>
    </row>
    <row r="15" spans="1:17" ht="24" customHeight="1" x14ac:dyDescent="0.2">
      <c r="A15" s="15">
        <v>45326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  <c r="Q15" s="28"/>
    </row>
    <row r="16" spans="1:17" ht="24" customHeight="1" x14ac:dyDescent="0.2">
      <c r="A16" s="15">
        <v>45327</v>
      </c>
      <c r="B16" s="18">
        <f>30.32</f>
        <v>30.32</v>
      </c>
      <c r="C16" s="18"/>
      <c r="D16" s="18">
        <f>381.1</f>
        <v>381.1</v>
      </c>
      <c r="E16" s="18"/>
      <c r="F16" s="18"/>
      <c r="G16" s="18"/>
      <c r="H16" s="18"/>
      <c r="I16" s="18"/>
      <c r="J16" s="18">
        <f>0.62</f>
        <v>0.62</v>
      </c>
      <c r="K16" s="18"/>
      <c r="L16" s="18"/>
      <c r="M16" s="17"/>
      <c r="N16" s="17"/>
      <c r="O16" s="17"/>
      <c r="P16" s="5">
        <f t="shared" si="0"/>
        <v>412.04</v>
      </c>
      <c r="Q16" s="28"/>
    </row>
    <row r="17" spans="1:20" ht="24" customHeight="1" x14ac:dyDescent="0.2">
      <c r="A17" s="15">
        <v>45328</v>
      </c>
      <c r="B17" s="18">
        <f>30.32</f>
        <v>30.32</v>
      </c>
      <c r="C17" s="18">
        <f>29.79+32.03+32.06</f>
        <v>93.88</v>
      </c>
      <c r="D17" s="18"/>
      <c r="E17" s="18"/>
      <c r="F17" s="18"/>
      <c r="G17" s="18"/>
      <c r="H17" s="18"/>
      <c r="I17" s="18"/>
      <c r="J17" s="18">
        <f>0.62</f>
        <v>0.62</v>
      </c>
      <c r="K17" s="18"/>
      <c r="L17" s="18"/>
      <c r="M17" s="17"/>
      <c r="N17" s="17"/>
      <c r="O17" s="17"/>
      <c r="P17" s="5">
        <f t="shared" si="0"/>
        <v>124.82</v>
      </c>
      <c r="Q17" s="28"/>
    </row>
    <row r="18" spans="1:20" ht="24" customHeight="1" x14ac:dyDescent="0.2">
      <c r="A18" s="15">
        <v>45329</v>
      </c>
      <c r="B18" s="18">
        <f>30.32</f>
        <v>30.32</v>
      </c>
      <c r="C18" s="18"/>
      <c r="D18" s="18"/>
      <c r="E18" s="18"/>
      <c r="F18" s="18"/>
      <c r="G18" s="18"/>
      <c r="H18" s="18"/>
      <c r="I18" s="18"/>
      <c r="J18" s="18"/>
      <c r="K18" s="2">
        <f>39.2</f>
        <v>39.200000000000003</v>
      </c>
      <c r="L18" s="18"/>
      <c r="M18" s="17"/>
      <c r="N18" s="17"/>
      <c r="O18" s="17"/>
      <c r="P18" s="5">
        <f t="shared" si="0"/>
        <v>69.52000000000001</v>
      </c>
      <c r="Q18" s="28"/>
    </row>
    <row r="19" spans="1:20" ht="24" customHeight="1" x14ac:dyDescent="0.2">
      <c r="A19" s="15">
        <v>45330</v>
      </c>
      <c r="B19" s="18">
        <f>30.32</f>
        <v>30.32</v>
      </c>
      <c r="C19" s="18"/>
      <c r="D19" s="18"/>
      <c r="E19" s="18"/>
      <c r="F19" s="18"/>
      <c r="G19" s="18"/>
      <c r="H19" s="18"/>
      <c r="I19" s="18"/>
      <c r="J19" s="18"/>
      <c r="K19" s="18">
        <f>39.2</f>
        <v>39.200000000000003</v>
      </c>
      <c r="L19" s="18"/>
      <c r="M19" s="17"/>
      <c r="N19" s="17"/>
      <c r="O19" s="17"/>
      <c r="P19" s="5">
        <f t="shared" si="0"/>
        <v>69.52000000000001</v>
      </c>
      <c r="Q19" s="28"/>
    </row>
    <row r="20" spans="1:20" ht="24" customHeight="1" x14ac:dyDescent="0.2">
      <c r="A20" s="15">
        <v>45331</v>
      </c>
      <c r="B20" s="18">
        <f>30.32+30.32</f>
        <v>60.64</v>
      </c>
      <c r="C20" s="18"/>
      <c r="D20" s="18">
        <f>572.38</f>
        <v>572.38</v>
      </c>
      <c r="E20" s="18"/>
      <c r="F20" s="18"/>
      <c r="G20" s="18"/>
      <c r="H20" s="18"/>
      <c r="I20" s="18"/>
      <c r="J20" s="18"/>
      <c r="K20" s="18">
        <f>39.2</f>
        <v>39.200000000000003</v>
      </c>
      <c r="L20" s="18"/>
      <c r="M20" s="17"/>
      <c r="N20" s="17"/>
      <c r="O20" s="17"/>
      <c r="P20" s="5">
        <f t="shared" si="0"/>
        <v>672.22</v>
      </c>
      <c r="Q20" s="28"/>
    </row>
    <row r="21" spans="1:20" ht="24" customHeight="1" x14ac:dyDescent="0.2">
      <c r="A21" s="15">
        <v>45332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  <c r="Q21" s="28"/>
    </row>
    <row r="22" spans="1:20" ht="24" customHeight="1" x14ac:dyDescent="0.2">
      <c r="A22" s="15">
        <v>45333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  <c r="Q22" s="28"/>
    </row>
    <row r="23" spans="1:20" ht="24" customHeight="1" x14ac:dyDescent="0.2">
      <c r="A23" s="15">
        <v>45334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0</v>
      </c>
      <c r="Q23" s="28"/>
    </row>
    <row r="24" spans="1:20" ht="24" customHeight="1" x14ac:dyDescent="0.2">
      <c r="A24" s="15">
        <v>45335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0</v>
      </c>
      <c r="Q24" s="28"/>
    </row>
    <row r="25" spans="1:20" ht="24" customHeight="1" x14ac:dyDescent="0.2">
      <c r="A25" s="15">
        <v>45336</v>
      </c>
      <c r="B25" s="18">
        <f>136.46+75.81</f>
        <v>212.27</v>
      </c>
      <c r="C25" s="18"/>
      <c r="D25" s="18"/>
      <c r="E25" s="18"/>
      <c r="F25" s="18">
        <f>21.12</f>
        <v>21.12</v>
      </c>
      <c r="G25" s="18"/>
      <c r="H25" s="18">
        <f>21.12</f>
        <v>21.12</v>
      </c>
      <c r="I25" s="18"/>
      <c r="J25" s="18"/>
      <c r="K25" s="18"/>
      <c r="L25" s="18"/>
      <c r="M25" s="17"/>
      <c r="N25" s="17"/>
      <c r="O25" s="17"/>
      <c r="P25" s="5">
        <f t="shared" si="0"/>
        <v>254.51000000000002</v>
      </c>
      <c r="Q25" s="28"/>
      <c r="T25" s="43"/>
    </row>
    <row r="26" spans="1:20" ht="26.25" customHeight="1" x14ac:dyDescent="0.2">
      <c r="A26" s="15">
        <v>45337</v>
      </c>
      <c r="B26" s="18"/>
      <c r="C26" s="18"/>
      <c r="D26" s="18"/>
      <c r="E26" s="18"/>
      <c r="F26" s="18"/>
      <c r="G26" s="18"/>
      <c r="H26" s="18"/>
      <c r="I26" s="18"/>
      <c r="J26" s="18"/>
      <c r="K26" s="18">
        <f>39.2</f>
        <v>39.200000000000003</v>
      </c>
      <c r="L26" s="18"/>
      <c r="M26" s="17"/>
      <c r="N26" s="17"/>
      <c r="O26" s="17"/>
      <c r="P26" s="5">
        <f t="shared" si="0"/>
        <v>39.200000000000003</v>
      </c>
    </row>
    <row r="27" spans="1:20" ht="24" customHeight="1" x14ac:dyDescent="0.2">
      <c r="A27" s="15">
        <v>45338</v>
      </c>
      <c r="B27" s="18">
        <f>75.81</f>
        <v>75.81</v>
      </c>
      <c r="C27" s="18"/>
      <c r="D27" s="18"/>
      <c r="E27" s="18"/>
      <c r="F27" s="18">
        <f>21.12+21.12</f>
        <v>42.24</v>
      </c>
      <c r="G27" s="18"/>
      <c r="H27" s="18">
        <f>21.12</f>
        <v>21.12</v>
      </c>
      <c r="I27" s="18"/>
      <c r="J27" s="18"/>
      <c r="K27" s="18"/>
      <c r="L27" s="18"/>
      <c r="M27" s="17"/>
      <c r="N27" s="17"/>
      <c r="O27" s="17"/>
      <c r="P27" s="5">
        <f t="shared" si="0"/>
        <v>139.17000000000002</v>
      </c>
    </row>
    <row r="28" spans="1:20" ht="24" customHeight="1" x14ac:dyDescent="0.2">
      <c r="A28" s="15">
        <v>45339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0</v>
      </c>
    </row>
    <row r="29" spans="1:20" ht="26.25" customHeight="1" x14ac:dyDescent="0.2">
      <c r="A29" s="15">
        <v>45340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7"/>
      <c r="N29" s="17"/>
      <c r="O29" s="17"/>
      <c r="P29" s="5">
        <f t="shared" si="0"/>
        <v>0</v>
      </c>
    </row>
    <row r="30" spans="1:20" ht="26.25" customHeight="1" x14ac:dyDescent="0.2">
      <c r="A30" s="15">
        <v>45341</v>
      </c>
      <c r="B30" s="18">
        <f>30.32</f>
        <v>30.32</v>
      </c>
      <c r="C30" s="18"/>
      <c r="D30" s="18">
        <f>761.54</f>
        <v>761.54</v>
      </c>
      <c r="E30" s="18">
        <f>108.14</f>
        <v>108.14</v>
      </c>
      <c r="F30" s="18">
        <f>21.12</f>
        <v>21.12</v>
      </c>
      <c r="G30" s="18"/>
      <c r="H30" s="18"/>
      <c r="I30" s="18"/>
      <c r="J30" s="18">
        <f>0.62</f>
        <v>0.62</v>
      </c>
      <c r="K30" s="18">
        <f>39.2</f>
        <v>39.200000000000003</v>
      </c>
      <c r="L30" s="18"/>
      <c r="M30" s="17"/>
      <c r="N30" s="17"/>
      <c r="O30" s="17"/>
      <c r="P30" s="5">
        <f t="shared" si="0"/>
        <v>960.94</v>
      </c>
    </row>
    <row r="31" spans="1:20" ht="22.5" customHeight="1" x14ac:dyDescent="0.2">
      <c r="A31" s="15">
        <v>45342</v>
      </c>
      <c r="B31" s="18">
        <f>136.46+30.32</f>
        <v>166.78</v>
      </c>
      <c r="C31" s="18"/>
      <c r="D31" s="18">
        <f>39.9</f>
        <v>39.9</v>
      </c>
      <c r="E31" s="18">
        <f>39.45</f>
        <v>39.450000000000003</v>
      </c>
      <c r="F31" s="18"/>
      <c r="G31" s="18"/>
      <c r="H31" s="18"/>
      <c r="I31" s="18"/>
      <c r="J31" s="18">
        <f>0.62</f>
        <v>0.62</v>
      </c>
      <c r="K31" s="18"/>
      <c r="L31" s="18"/>
      <c r="M31" s="17"/>
      <c r="N31" s="17"/>
      <c r="O31" s="17"/>
      <c r="P31" s="5">
        <f t="shared" si="0"/>
        <v>246.75</v>
      </c>
    </row>
    <row r="32" spans="1:20" ht="18.75" customHeight="1" x14ac:dyDescent="0.2">
      <c r="A32" s="15">
        <v>45343</v>
      </c>
      <c r="B32" s="18">
        <f>136.46</f>
        <v>136.46</v>
      </c>
      <c r="C32" s="18"/>
      <c r="D32" s="18"/>
      <c r="E32" s="18">
        <f>72.47</f>
        <v>72.47</v>
      </c>
      <c r="F32" s="18"/>
      <c r="G32" s="18"/>
      <c r="H32" s="18"/>
      <c r="I32" s="18"/>
      <c r="J32" s="18">
        <f>0.62</f>
        <v>0.62</v>
      </c>
      <c r="K32" s="18"/>
      <c r="L32" s="18"/>
      <c r="M32" s="17"/>
      <c r="N32" s="17"/>
      <c r="O32" s="17"/>
      <c r="P32" s="5">
        <f t="shared" si="0"/>
        <v>209.55</v>
      </c>
    </row>
    <row r="33" spans="1:16" ht="21" customHeight="1" x14ac:dyDescent="0.2">
      <c r="A33" s="15">
        <v>45344</v>
      </c>
      <c r="B33" s="18">
        <f>136.46</f>
        <v>136.46</v>
      </c>
      <c r="C33" s="18">
        <f>194.09</f>
        <v>194.09</v>
      </c>
      <c r="D33" s="18"/>
      <c r="E33" s="18"/>
      <c r="F33" s="18"/>
      <c r="G33" s="18"/>
      <c r="H33" s="18"/>
      <c r="I33" s="18"/>
      <c r="J33" s="18"/>
      <c r="K33" s="18"/>
      <c r="L33" s="18"/>
      <c r="M33" s="17"/>
      <c r="N33" s="17"/>
      <c r="O33" s="17"/>
      <c r="P33" s="5">
        <f t="shared" si="0"/>
        <v>330.55</v>
      </c>
    </row>
    <row r="34" spans="1:16" ht="24" customHeight="1" x14ac:dyDescent="0.2">
      <c r="A34" s="15">
        <v>45345</v>
      </c>
      <c r="B34" s="18">
        <f>136.46</f>
        <v>136.46</v>
      </c>
      <c r="C34" s="18">
        <f>48.18</f>
        <v>48.18</v>
      </c>
      <c r="D34" s="18"/>
      <c r="E34" s="18"/>
      <c r="F34" s="18"/>
      <c r="G34" s="18"/>
      <c r="H34" s="18"/>
      <c r="I34" s="18"/>
      <c r="J34" s="18">
        <f>0.62</f>
        <v>0.62</v>
      </c>
      <c r="K34" s="18"/>
      <c r="L34" s="18"/>
      <c r="M34" s="17"/>
      <c r="N34" s="17"/>
      <c r="O34" s="17"/>
      <c r="P34" s="5">
        <f t="shared" si="0"/>
        <v>185.26000000000002</v>
      </c>
    </row>
    <row r="35" spans="1:16" ht="21" customHeight="1" x14ac:dyDescent="0.2">
      <c r="A35" s="15">
        <v>45346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7"/>
      <c r="N35" s="17"/>
      <c r="O35" s="17"/>
      <c r="P35" s="5">
        <f t="shared" si="0"/>
        <v>0</v>
      </c>
    </row>
    <row r="36" spans="1:16" ht="28.5" customHeight="1" x14ac:dyDescent="0.2">
      <c r="A36" s="15">
        <v>45347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7"/>
      <c r="N36" s="17"/>
      <c r="O36" s="17"/>
      <c r="P36" s="5">
        <f t="shared" si="0"/>
        <v>0</v>
      </c>
    </row>
    <row r="37" spans="1:16" ht="20.25" customHeight="1" x14ac:dyDescent="0.2">
      <c r="A37" s="15">
        <v>45348</v>
      </c>
      <c r="B37" s="18"/>
      <c r="C37" s="18">
        <f>1.3+9.22+10.02+7.84+2.54+6.98+8.15</f>
        <v>46.05</v>
      </c>
      <c r="D37" s="18">
        <f>381.1</f>
        <v>381.1</v>
      </c>
      <c r="E37" s="18"/>
      <c r="F37" s="18"/>
      <c r="G37" s="18"/>
      <c r="H37" s="18"/>
      <c r="I37" s="18">
        <f>2.87+1.93</f>
        <v>4.8</v>
      </c>
      <c r="J37" s="18">
        <f>0.62</f>
        <v>0.62</v>
      </c>
      <c r="K37" s="18"/>
      <c r="L37" s="18"/>
      <c r="M37" s="17"/>
      <c r="N37" s="17"/>
      <c r="O37" s="17"/>
      <c r="P37" s="5">
        <f t="shared" si="0"/>
        <v>432.57000000000005</v>
      </c>
    </row>
    <row r="38" spans="1:16" ht="19.5" customHeight="1" x14ac:dyDescent="0.2">
      <c r="A38" s="15">
        <v>45349</v>
      </c>
      <c r="B38" s="18">
        <f>30.32+136.46</f>
        <v>166.78</v>
      </c>
      <c r="C38" s="18">
        <f>23.96+23.68+24.24+24.14</f>
        <v>96.02</v>
      </c>
      <c r="D38" s="18"/>
      <c r="E38" s="18"/>
      <c r="F38" s="18"/>
      <c r="G38" s="18"/>
      <c r="H38" s="18"/>
      <c r="I38" s="18"/>
      <c r="J38" s="18">
        <f>0.62</f>
        <v>0.62</v>
      </c>
      <c r="K38" s="18">
        <f>39.2</f>
        <v>39.200000000000003</v>
      </c>
      <c r="L38" s="18"/>
      <c r="M38" s="17"/>
      <c r="N38" s="17"/>
      <c r="O38" s="17"/>
      <c r="P38" s="5">
        <f t="shared" si="0"/>
        <v>302.62</v>
      </c>
    </row>
    <row r="39" spans="1:16" ht="21" customHeight="1" x14ac:dyDescent="0.2">
      <c r="A39" s="15">
        <v>45350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7"/>
      <c r="N39" s="17"/>
      <c r="O39" s="17"/>
      <c r="P39" s="5">
        <f t="shared" si="0"/>
        <v>0</v>
      </c>
    </row>
    <row r="40" spans="1:16" ht="23.25" customHeight="1" x14ac:dyDescent="0.2">
      <c r="A40" s="15">
        <v>45351</v>
      </c>
      <c r="B40" s="18">
        <f>30.32+30.32+30.32</f>
        <v>90.960000000000008</v>
      </c>
      <c r="C40" s="18">
        <f>10.85+11.66+11.68</f>
        <v>34.19</v>
      </c>
      <c r="D40" s="18">
        <f>84.69+84.69</f>
        <v>169.38</v>
      </c>
      <c r="E40" s="18">
        <f>22.08+19.07+24.19+19.07+19.58+13.68+26.7+25.06+22.08</f>
        <v>191.51</v>
      </c>
      <c r="F40" s="18"/>
      <c r="G40" s="18"/>
      <c r="H40" s="18"/>
      <c r="I40" s="18"/>
      <c r="J40" s="18">
        <f>0.62+0.62+0.62</f>
        <v>1.8599999999999999</v>
      </c>
      <c r="K40" s="18">
        <f>39.2+41.14</f>
        <v>80.34</v>
      </c>
      <c r="L40" s="18"/>
      <c r="M40" s="17"/>
      <c r="N40" s="17"/>
      <c r="O40" s="17"/>
      <c r="P40" s="5">
        <f t="shared" si="0"/>
        <v>568.24</v>
      </c>
    </row>
    <row r="41" spans="1:16" ht="19.5" customHeight="1" x14ac:dyDescent="0.2">
      <c r="A41" s="19" t="s">
        <v>2</v>
      </c>
      <c r="B41" s="20">
        <f t="shared" ref="B41:O41" si="1">SUM(B14:B40)</f>
        <v>1334.22</v>
      </c>
      <c r="C41" s="20">
        <f t="shared" si="1"/>
        <v>512.41000000000008</v>
      </c>
      <c r="D41" s="20">
        <f t="shared" si="1"/>
        <v>2305.4</v>
      </c>
      <c r="E41" s="20">
        <f t="shared" si="1"/>
        <v>411.57</v>
      </c>
      <c r="F41" s="20">
        <f t="shared" si="1"/>
        <v>84.48</v>
      </c>
      <c r="G41" s="20">
        <f t="shared" si="1"/>
        <v>0</v>
      </c>
      <c r="H41" s="20">
        <f t="shared" si="1"/>
        <v>42.24</v>
      </c>
      <c r="I41" s="20">
        <f t="shared" si="1"/>
        <v>4.8</v>
      </c>
      <c r="J41" s="20">
        <f t="shared" si="1"/>
        <v>6.82</v>
      </c>
      <c r="K41" s="20">
        <f t="shared" si="1"/>
        <v>315.53999999999996</v>
      </c>
      <c r="L41" s="20">
        <f t="shared" si="1"/>
        <v>0</v>
      </c>
      <c r="M41" s="20">
        <f t="shared" si="1"/>
        <v>0</v>
      </c>
      <c r="N41" s="20">
        <f t="shared" si="1"/>
        <v>0</v>
      </c>
      <c r="O41" s="20">
        <f t="shared" si="1"/>
        <v>0</v>
      </c>
      <c r="P41" s="23">
        <f>SUM(P12:P40)</f>
        <v>10532.500000000002</v>
      </c>
    </row>
  </sheetData>
  <mergeCells count="17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J9:J11"/>
    <mergeCell ref="K9:K11"/>
    <mergeCell ref="L9:L11"/>
    <mergeCell ref="M9:M11"/>
    <mergeCell ref="N9:N11"/>
  </mergeCells>
  <pageMargins left="0.51180555555555596" right="0.51180555555555596" top="0.39374999999999999" bottom="0.39374999999999999" header="0.511811023622047" footer="0.511811023622047"/>
  <pageSetup paperSize="9" scale="7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2" t="s">
        <v>33</v>
      </c>
    </row>
    <row r="7" spans="1:16" ht="12" x14ac:dyDescent="0.2">
      <c r="A7" s="57">
        <v>44986</v>
      </c>
      <c r="B7" s="57"/>
      <c r="D7" s="14"/>
      <c r="E7" s="14"/>
      <c r="F7" s="14"/>
      <c r="G7" s="14"/>
      <c r="H7" s="14"/>
    </row>
    <row r="9" spans="1:16" ht="15" customHeight="1" x14ac:dyDescent="0.2">
      <c r="A9" s="58"/>
      <c r="B9" s="56" t="s">
        <v>28</v>
      </c>
      <c r="C9" s="56" t="s">
        <v>16</v>
      </c>
      <c r="D9" s="56" t="s">
        <v>29</v>
      </c>
      <c r="E9" s="56" t="s">
        <v>17</v>
      </c>
      <c r="F9" s="56" t="s">
        <v>18</v>
      </c>
      <c r="G9" s="56" t="s">
        <v>19</v>
      </c>
      <c r="H9" s="56" t="s">
        <v>20</v>
      </c>
      <c r="I9" s="56" t="s">
        <v>21</v>
      </c>
      <c r="J9" s="56" t="s">
        <v>22</v>
      </c>
      <c r="K9" s="56" t="s">
        <v>23</v>
      </c>
      <c r="L9" s="56" t="s">
        <v>24</v>
      </c>
      <c r="M9" s="53" t="s">
        <v>25</v>
      </c>
      <c r="N9" s="53" t="s">
        <v>26</v>
      </c>
      <c r="O9" s="53" t="s">
        <v>27</v>
      </c>
      <c r="P9" s="54" t="s">
        <v>1</v>
      </c>
    </row>
    <row r="10" spans="1:16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3"/>
      <c r="N10" s="53"/>
      <c r="O10" s="53"/>
      <c r="P10" s="54"/>
    </row>
    <row r="11" spans="1:16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3"/>
      <c r="N11" s="53"/>
      <c r="O11" s="53"/>
      <c r="P11" s="54"/>
    </row>
    <row r="12" spans="1:16" ht="23.25" customHeight="1" x14ac:dyDescent="0.2">
      <c r="A12" s="15">
        <v>44986</v>
      </c>
      <c r="B12" s="16">
        <f>29.4+29.4+29.4+29.4+36.75+29.4+36.75+36.75+29.4+29.4+29.4+29.4+36.75+14.7+132.3+29.4+29.4+132.3+36.75+29.4+132.3+12.25+29.4+36.75+29.4+29.4+29.4+29.4</f>
        <v>1144.1500000000001</v>
      </c>
      <c r="C12" s="16">
        <f>14.87+13.62+15.22+16.08+16.36+1.12+8.26+9.05+2.37+7.16+6.46+7.5+3.26+12.11+5.44+14.87+10.14+10.71+27.8+11.81</f>
        <v>214.21</v>
      </c>
      <c r="D12" s="16">
        <f>82.1+82.1+1106.78+17.1+123.3+40.85+82.1+82.1</f>
        <v>1616.4299999999996</v>
      </c>
      <c r="E12" s="16">
        <f>17.09+19.98+22.92+12.61+24.52+22.02+19.98+17.09</f>
        <v>156.20999999999998</v>
      </c>
      <c r="F12" s="16"/>
      <c r="G12" s="16"/>
      <c r="H12" s="16"/>
      <c r="I12" s="16">
        <f>2.64+1.8+0.56</f>
        <v>5</v>
      </c>
      <c r="J12" s="16">
        <f>0.62+0.62+0.62+0.62+0.62+0.62+0.62+0.62</f>
        <v>4.96</v>
      </c>
      <c r="K12" s="16">
        <f>28.75</f>
        <v>28.75</v>
      </c>
      <c r="L12" s="16"/>
      <c r="M12" s="17"/>
      <c r="N12" s="17"/>
      <c r="O12" s="17"/>
      <c r="P12" s="5">
        <f>SUM(B12:L12)</f>
        <v>3169.71</v>
      </c>
    </row>
    <row r="13" spans="1:16" ht="24" customHeight="1" x14ac:dyDescent="0.2">
      <c r="A13" s="15">
        <v>44987</v>
      </c>
      <c r="B13" s="16">
        <f>29.4+29.4</f>
        <v>58.8</v>
      </c>
      <c r="C13" s="16"/>
      <c r="D13" s="16">
        <f>40.85</f>
        <v>40.85</v>
      </c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ref="P13:P31" si="0">SUM(B13:L13)</f>
        <v>99.65</v>
      </c>
    </row>
    <row r="14" spans="1:16" ht="24" customHeight="1" x14ac:dyDescent="0.2">
      <c r="A14" s="15">
        <v>44988</v>
      </c>
      <c r="B14" s="18">
        <f>29.4+29.4+29.4+36.75+29.4</f>
        <v>154.35</v>
      </c>
      <c r="C14" s="18">
        <f>40.68</f>
        <v>40.68</v>
      </c>
      <c r="D14" s="18"/>
      <c r="E14" s="18"/>
      <c r="F14" s="18"/>
      <c r="G14" s="18"/>
      <c r="H14" s="18"/>
      <c r="I14" s="18"/>
      <c r="J14" s="18">
        <v>0.62</v>
      </c>
      <c r="K14" s="18"/>
      <c r="L14" s="18"/>
      <c r="M14" s="17"/>
      <c r="N14" s="17"/>
      <c r="O14" s="17"/>
      <c r="P14" s="5">
        <f t="shared" si="0"/>
        <v>195.65</v>
      </c>
    </row>
    <row r="15" spans="1:16" ht="24" customHeight="1" x14ac:dyDescent="0.2">
      <c r="A15" s="15">
        <v>44991</v>
      </c>
      <c r="B15" s="18">
        <f>29.4+29.4</f>
        <v>58.8</v>
      </c>
      <c r="C15" s="18">
        <f>7.49+33.41+11.86+24.41</f>
        <v>77.17</v>
      </c>
      <c r="D15" s="18">
        <f>410.5</f>
        <v>410.5</v>
      </c>
      <c r="E15" s="18"/>
      <c r="F15" s="18"/>
      <c r="G15" s="18">
        <f>61.75</f>
        <v>61.75</v>
      </c>
      <c r="H15" s="18"/>
      <c r="I15" s="18"/>
      <c r="J15" s="18">
        <f>0.62</f>
        <v>0.62</v>
      </c>
      <c r="K15" s="18">
        <f>38</f>
        <v>38</v>
      </c>
      <c r="L15" s="18"/>
      <c r="M15" s="17"/>
      <c r="N15" s="17"/>
      <c r="O15" s="17"/>
      <c r="P15" s="5">
        <f t="shared" si="0"/>
        <v>646.84</v>
      </c>
    </row>
    <row r="16" spans="1:16" ht="24" customHeight="1" x14ac:dyDescent="0.2">
      <c r="A16" s="15">
        <v>44993</v>
      </c>
      <c r="B16" s="18">
        <f>139.65+29.4</f>
        <v>169.05</v>
      </c>
      <c r="C16" s="18">
        <f>27.11</f>
        <v>27.11</v>
      </c>
      <c r="D16" s="18"/>
      <c r="E16" s="18"/>
      <c r="F16" s="18"/>
      <c r="G16" s="18"/>
      <c r="H16" s="18"/>
      <c r="I16" s="18"/>
      <c r="J16" s="18">
        <v>0.62</v>
      </c>
      <c r="K16" s="18"/>
      <c r="L16" s="18"/>
      <c r="M16" s="17"/>
      <c r="N16" s="17"/>
      <c r="O16" s="17"/>
      <c r="P16" s="5">
        <f t="shared" si="0"/>
        <v>196.78000000000003</v>
      </c>
    </row>
    <row r="17" spans="1:16" ht="24" customHeight="1" x14ac:dyDescent="0.2">
      <c r="A17" s="15">
        <v>44998</v>
      </c>
      <c r="B17" s="18">
        <f>73.5+73.5</f>
        <v>147</v>
      </c>
      <c r="C17" s="18"/>
      <c r="D17" s="18">
        <f>136.83</f>
        <v>136.83000000000001</v>
      </c>
      <c r="E17" s="18"/>
      <c r="F17" s="18">
        <f>20.5+20.5</f>
        <v>41</v>
      </c>
      <c r="G17" s="18"/>
      <c r="H17" s="18">
        <f>20.5+20.5</f>
        <v>41</v>
      </c>
      <c r="I17" s="18"/>
      <c r="J17" s="18"/>
      <c r="K17" s="18"/>
      <c r="L17" s="18"/>
      <c r="M17" s="17"/>
      <c r="N17" s="17"/>
      <c r="O17" s="17"/>
      <c r="P17" s="5">
        <f t="shared" si="0"/>
        <v>365.83000000000004</v>
      </c>
    </row>
    <row r="18" spans="1:16" ht="24" customHeight="1" x14ac:dyDescent="0.2">
      <c r="A18" s="15">
        <v>44999</v>
      </c>
      <c r="B18" s="18">
        <f>73.5</f>
        <v>73.5</v>
      </c>
      <c r="C18" s="18">
        <f>4.98+4.77+6.51+7.43+7.64+7.09+6.29+5.18</f>
        <v>49.89</v>
      </c>
      <c r="D18" s="18"/>
      <c r="E18" s="18"/>
      <c r="F18" s="18">
        <f>20.5</f>
        <v>20.5</v>
      </c>
      <c r="G18" s="18"/>
      <c r="H18" s="18">
        <f>20.5</f>
        <v>20.5</v>
      </c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165.01</v>
      </c>
    </row>
    <row r="19" spans="1:16" ht="24" customHeight="1" x14ac:dyDescent="0.2">
      <c r="A19" s="15">
        <v>45000</v>
      </c>
      <c r="B19" s="18"/>
      <c r="C19" s="18"/>
      <c r="D19" s="18"/>
      <c r="E19" s="18"/>
      <c r="F19" s="18">
        <f>20.5+20.5+20.5</f>
        <v>61.5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61.5</v>
      </c>
    </row>
    <row r="20" spans="1:16" ht="24" customHeight="1" x14ac:dyDescent="0.2">
      <c r="A20" s="15">
        <v>45001</v>
      </c>
      <c r="B20" s="18"/>
      <c r="C20" s="18">
        <f>21.92</f>
        <v>21.92</v>
      </c>
      <c r="D20" s="18"/>
      <c r="E20" s="18"/>
      <c r="F20" s="18">
        <f>20.5</f>
        <v>20.5</v>
      </c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42.42</v>
      </c>
    </row>
    <row r="21" spans="1:16" ht="24" customHeight="1" x14ac:dyDescent="0.2">
      <c r="A21" s="15">
        <v>45002</v>
      </c>
      <c r="B21" s="18">
        <f>73.5+10.69</f>
        <v>84.19</v>
      </c>
      <c r="C21" s="18">
        <f>5.83+8.62+7.58</f>
        <v>22.03</v>
      </c>
      <c r="D21" s="18">
        <f>204.25</f>
        <v>204.25</v>
      </c>
      <c r="E21" s="18"/>
      <c r="F21" s="18">
        <f>20.5</f>
        <v>20.5</v>
      </c>
      <c r="G21" s="18">
        <v>61.75</v>
      </c>
      <c r="H21" s="18">
        <f>20.5</f>
        <v>20.5</v>
      </c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413.84000000000003</v>
      </c>
    </row>
    <row r="22" spans="1:16" ht="24" customHeight="1" x14ac:dyDescent="0.2">
      <c r="A22" s="15">
        <v>45005</v>
      </c>
      <c r="B22" s="18">
        <f>73.5</f>
        <v>73.5</v>
      </c>
      <c r="C22" s="18"/>
      <c r="D22" s="18">
        <f>410.5</f>
        <v>410.5</v>
      </c>
      <c r="E22" s="18"/>
      <c r="F22" s="18">
        <v>20.5</v>
      </c>
      <c r="G22" s="18">
        <f>61.75</f>
        <v>61.75</v>
      </c>
      <c r="H22" s="18">
        <v>20.5</v>
      </c>
      <c r="I22" s="18"/>
      <c r="J22" s="18"/>
      <c r="K22" s="18">
        <f>38</f>
        <v>38</v>
      </c>
      <c r="L22" s="18"/>
      <c r="M22" s="17"/>
      <c r="N22" s="17"/>
      <c r="O22" s="17"/>
      <c r="P22" s="5">
        <f t="shared" si="0"/>
        <v>624.75</v>
      </c>
    </row>
    <row r="23" spans="1:16" ht="24" customHeight="1" x14ac:dyDescent="0.2">
      <c r="A23" s="15">
        <v>45006</v>
      </c>
      <c r="B23" s="18">
        <f>36.75+29.4</f>
        <v>66.150000000000006</v>
      </c>
      <c r="C23" s="18"/>
      <c r="D23" s="18"/>
      <c r="E23" s="18"/>
      <c r="F23" s="18">
        <f>20.5</f>
        <v>20.5</v>
      </c>
      <c r="G23" s="18"/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87.27000000000001</v>
      </c>
    </row>
    <row r="24" spans="1:16" ht="24" customHeight="1" x14ac:dyDescent="0.2">
      <c r="A24" s="15">
        <v>45007</v>
      </c>
      <c r="B24" s="18">
        <f>12.25</f>
        <v>12.25</v>
      </c>
      <c r="C24" s="18">
        <f>11.9</f>
        <v>11.9</v>
      </c>
      <c r="D24" s="18"/>
      <c r="E24" s="18"/>
      <c r="F24" s="18"/>
      <c r="G24" s="18"/>
      <c r="H24" s="18"/>
      <c r="I24" s="18">
        <f>0.56</f>
        <v>0.56000000000000005</v>
      </c>
      <c r="J24" s="18">
        <f>0.62</f>
        <v>0.62</v>
      </c>
      <c r="K24" s="18"/>
      <c r="L24" s="18"/>
      <c r="M24" s="17"/>
      <c r="N24" s="17"/>
      <c r="O24" s="17"/>
      <c r="P24" s="5">
        <f t="shared" si="0"/>
        <v>25.33</v>
      </c>
    </row>
    <row r="25" spans="1:16" ht="24" customHeight="1" x14ac:dyDescent="0.2">
      <c r="A25" s="15">
        <v>45008</v>
      </c>
      <c r="B25" s="18">
        <f>139.65</f>
        <v>139.65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139.65</v>
      </c>
    </row>
    <row r="26" spans="1:16" ht="24" customHeight="1" x14ac:dyDescent="0.2">
      <c r="A26" s="15">
        <v>45009</v>
      </c>
      <c r="B26" s="18"/>
      <c r="C26" s="18">
        <f>2.38+6.5+7.55+7.22+9.12+8.34+1.13</f>
        <v>42.24</v>
      </c>
      <c r="D26" s="18"/>
      <c r="E26" s="18"/>
      <c r="F26" s="18"/>
      <c r="G26" s="18"/>
      <c r="H26" s="18"/>
      <c r="I26" s="18">
        <f>1.81+2.65</f>
        <v>4.46</v>
      </c>
      <c r="J26" s="18">
        <f>0.62</f>
        <v>0.62</v>
      </c>
      <c r="K26" s="18">
        <f>38</f>
        <v>38</v>
      </c>
      <c r="L26" s="18"/>
      <c r="M26" s="17"/>
      <c r="N26" s="17"/>
      <c r="O26" s="17"/>
      <c r="P26" s="5">
        <f t="shared" si="0"/>
        <v>85.32</v>
      </c>
    </row>
    <row r="27" spans="1:16" ht="24" customHeight="1" x14ac:dyDescent="0.2">
      <c r="A27" s="15">
        <v>45012</v>
      </c>
      <c r="B27" s="18">
        <f>29.4+29.4</f>
        <v>58.8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58.8</v>
      </c>
    </row>
    <row r="28" spans="1:16" ht="24" customHeight="1" x14ac:dyDescent="0.2">
      <c r="A28" s="15">
        <v>45013</v>
      </c>
      <c r="B28" s="18">
        <f>29.4+139.65+139.65+14.7</f>
        <v>323.40000000000003</v>
      </c>
      <c r="C28" s="18">
        <f>137.93</f>
        <v>137.93</v>
      </c>
      <c r="D28" s="18"/>
      <c r="E28" s="18"/>
      <c r="F28" s="18"/>
      <c r="G28" s="18"/>
      <c r="H28" s="18"/>
      <c r="I28" s="18"/>
      <c r="J28" s="18">
        <f>0.62</f>
        <v>0.62</v>
      </c>
      <c r="K28" s="18">
        <f>38</f>
        <v>38</v>
      </c>
      <c r="L28" s="18"/>
      <c r="M28" s="17"/>
      <c r="N28" s="17"/>
      <c r="O28" s="17"/>
      <c r="P28" s="5">
        <f t="shared" si="0"/>
        <v>499.95000000000005</v>
      </c>
    </row>
    <row r="29" spans="1:16" ht="24" customHeight="1" x14ac:dyDescent="0.2">
      <c r="A29" s="15">
        <v>45014</v>
      </c>
      <c r="B29" s="18">
        <f>139.65+36.75+5.11</f>
        <v>181.51000000000002</v>
      </c>
      <c r="C29" s="2">
        <f>1.32+5.82+2.07+4.26</f>
        <v>13.47</v>
      </c>
      <c r="D29" s="18">
        <f>17.1+82.1</f>
        <v>99.199999999999989</v>
      </c>
      <c r="E29" s="18">
        <f>17.26+20.15+12.7+24.7+23.1+22.2+20.15+17.26</f>
        <v>157.51999999999998</v>
      </c>
      <c r="F29" s="18"/>
      <c r="G29" s="18"/>
      <c r="H29" s="18"/>
      <c r="I29" s="18"/>
      <c r="J29" s="18">
        <f>0.62+0.62+0.62</f>
        <v>1.8599999999999999</v>
      </c>
      <c r="K29" s="18"/>
      <c r="L29" s="18"/>
      <c r="M29" s="17"/>
      <c r="N29" s="17"/>
      <c r="O29" s="17"/>
      <c r="P29" s="5">
        <f>SUM(B29:L29)</f>
        <v>453.56</v>
      </c>
    </row>
    <row r="30" spans="1:16" ht="24" customHeight="1" x14ac:dyDescent="0.2">
      <c r="A30" s="15">
        <v>45015</v>
      </c>
      <c r="B30" s="18">
        <f>29.4+29.4</f>
        <v>58.8</v>
      </c>
      <c r="C30" s="18"/>
      <c r="D30" s="18"/>
      <c r="E30" s="18"/>
      <c r="F30" s="18"/>
      <c r="G30" s="18"/>
      <c r="H30" s="18"/>
      <c r="I30" s="18"/>
      <c r="J30" s="18"/>
      <c r="K30" s="18">
        <v>38</v>
      </c>
      <c r="L30" s="18"/>
      <c r="M30" s="17"/>
      <c r="N30" s="17"/>
      <c r="O30" s="17"/>
      <c r="P30" s="5">
        <f t="shared" si="0"/>
        <v>96.8</v>
      </c>
    </row>
    <row r="31" spans="1:16" ht="24" customHeight="1" x14ac:dyDescent="0.2">
      <c r="A31" s="15">
        <v>45016</v>
      </c>
      <c r="B31" s="18">
        <f>29.4+29.4+29.4+29.4+29.4+139.65+29.4+29.4+29.4</f>
        <v>374.84999999999991</v>
      </c>
      <c r="C31" s="18"/>
      <c r="D31" s="18">
        <f>389.98+40.85</f>
        <v>430.83000000000004</v>
      </c>
      <c r="E31" s="18"/>
      <c r="F31" s="18"/>
      <c r="G31" s="18"/>
      <c r="H31" s="18"/>
      <c r="I31" s="18"/>
      <c r="J31" s="18"/>
      <c r="K31" s="18">
        <f>38</f>
        <v>38</v>
      </c>
      <c r="L31" s="18"/>
      <c r="M31" s="17"/>
      <c r="N31" s="17"/>
      <c r="O31" s="17"/>
      <c r="P31" s="5">
        <f t="shared" si="0"/>
        <v>843.68</v>
      </c>
    </row>
    <row r="32" spans="1:16" ht="24" customHeight="1" x14ac:dyDescent="0.2">
      <c r="A32" s="30" t="s">
        <v>2</v>
      </c>
      <c r="B32" s="20">
        <f>SUM(B12:B31)</f>
        <v>3178.7500000000005</v>
      </c>
      <c r="C32" s="20">
        <f t="shared" ref="C32:F32" si="1">SUM(C12:C31)</f>
        <v>658.55</v>
      </c>
      <c r="D32" s="20">
        <f t="shared" si="1"/>
        <v>3349.3899999999994</v>
      </c>
      <c r="E32" s="20">
        <f t="shared" si="1"/>
        <v>313.72999999999996</v>
      </c>
      <c r="F32" s="20">
        <f t="shared" si="1"/>
        <v>205</v>
      </c>
      <c r="G32" s="20">
        <f t="shared" ref="G32" si="2">SUM(G12:G31)</f>
        <v>185.25</v>
      </c>
      <c r="H32" s="20">
        <f t="shared" ref="H32" si="3">SUM(H12:H31)</f>
        <v>102.5</v>
      </c>
      <c r="I32" s="20">
        <f t="shared" ref="I32:J32" si="4">SUM(I12:I31)</f>
        <v>10.02</v>
      </c>
      <c r="J32" s="20">
        <f t="shared" si="4"/>
        <v>12.399999999999997</v>
      </c>
      <c r="K32" s="20">
        <f t="shared" ref="K32" si="5">SUM(K12:K31)</f>
        <v>256.75</v>
      </c>
      <c r="L32" s="20">
        <f t="shared" ref="L32:O32" si="6">SUM(L12:L31)</f>
        <v>0</v>
      </c>
      <c r="M32" s="20">
        <f t="shared" si="6"/>
        <v>0</v>
      </c>
      <c r="N32" s="20">
        <f t="shared" si="6"/>
        <v>0</v>
      </c>
      <c r="O32" s="20">
        <f t="shared" si="6"/>
        <v>0</v>
      </c>
      <c r="P32" s="20">
        <f>SUM(P12:P31)</f>
        <v>8272.34</v>
      </c>
    </row>
    <row r="33" spans="1:16" ht="12" customHeight="1" x14ac:dyDescent="0.2">
      <c r="A33" s="2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55" t="s">
        <v>31</v>
      </c>
      <c r="N33" s="55"/>
      <c r="O33" s="55"/>
      <c r="P33" s="55"/>
    </row>
    <row r="34" spans="1:16" ht="24" customHeight="1" x14ac:dyDescent="0.2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6"/>
    </row>
    <row r="35" spans="1:16" ht="24" customHeight="1" x14ac:dyDescent="0.2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M33:P33"/>
    <mergeCell ref="J9:J11"/>
    <mergeCell ref="K9:K11"/>
    <mergeCell ref="L9:L11"/>
    <mergeCell ref="M9:M11"/>
    <mergeCell ref="N9:N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30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A2" sqref="A2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x14ac:dyDescent="0.2">
      <c r="A5" s="2" t="s">
        <v>35</v>
      </c>
    </row>
    <row r="7" spans="1:16" ht="12" x14ac:dyDescent="0.2">
      <c r="A7" s="57">
        <v>45017</v>
      </c>
      <c r="B7" s="57"/>
      <c r="D7" s="14"/>
      <c r="E7" s="14"/>
      <c r="F7" s="14"/>
      <c r="G7" s="14"/>
      <c r="H7" s="14"/>
    </row>
    <row r="9" spans="1:16" ht="15" customHeight="1" x14ac:dyDescent="0.2">
      <c r="A9" s="58"/>
      <c r="B9" s="56" t="s">
        <v>28</v>
      </c>
      <c r="C9" s="56" t="s">
        <v>16</v>
      </c>
      <c r="D9" s="56" t="s">
        <v>29</v>
      </c>
      <c r="E9" s="56" t="s">
        <v>17</v>
      </c>
      <c r="F9" s="56" t="s">
        <v>18</v>
      </c>
      <c r="G9" s="56" t="s">
        <v>19</v>
      </c>
      <c r="H9" s="56" t="s">
        <v>20</v>
      </c>
      <c r="I9" s="56" t="s">
        <v>21</v>
      </c>
      <c r="J9" s="56" t="s">
        <v>22</v>
      </c>
      <c r="K9" s="56" t="s">
        <v>23</v>
      </c>
      <c r="L9" s="56" t="s">
        <v>24</v>
      </c>
      <c r="M9" s="53" t="s">
        <v>25</v>
      </c>
      <c r="N9" s="53" t="s">
        <v>26</v>
      </c>
      <c r="O9" s="53" t="s">
        <v>27</v>
      </c>
      <c r="P9" s="54" t="s">
        <v>1</v>
      </c>
    </row>
    <row r="10" spans="1:16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3"/>
      <c r="N10" s="53"/>
      <c r="O10" s="53"/>
      <c r="P10" s="54"/>
    </row>
    <row r="11" spans="1:16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3"/>
      <c r="N11" s="53"/>
      <c r="O11" s="53"/>
      <c r="P11" s="54"/>
    </row>
    <row r="12" spans="1:16" ht="23.25" customHeight="1" x14ac:dyDescent="0.2">
      <c r="A12" s="15">
        <v>45019</v>
      </c>
      <c r="B12" s="32">
        <f>29.4+29.4+29.4+139.65+139.65+29.4+62.48+29.4+49+14.7+29.4+29.4+36.75+29.4</f>
        <v>677.43</v>
      </c>
      <c r="C12" s="16">
        <f>28.13+13.6+10.97+17.62+18.48</f>
        <v>88.8</v>
      </c>
      <c r="D12" s="16">
        <f>82.1+82.1+389.98+123.3+41.05+389.98+82.1</f>
        <v>1190.6099999999999</v>
      </c>
      <c r="E12" s="16">
        <f>86.47+93.21+93.67+97.57+40.01</f>
        <v>410.93</v>
      </c>
      <c r="F12" s="16"/>
      <c r="G12" s="16"/>
      <c r="H12" s="16">
        <f>18.5</f>
        <v>18.5</v>
      </c>
      <c r="I12" s="16"/>
      <c r="J12" s="16">
        <f>0.62+0.62+0.62</f>
        <v>1.8599999999999999</v>
      </c>
      <c r="K12" s="16">
        <f>38</f>
        <v>38</v>
      </c>
      <c r="L12" s="16"/>
      <c r="M12" s="17"/>
      <c r="N12" s="17"/>
      <c r="O12" s="17"/>
      <c r="P12" s="5">
        <f t="shared" ref="P12:P26" si="0">SUM(B12:L12)</f>
        <v>2426.1299999999997</v>
      </c>
    </row>
    <row r="13" spans="1:16" ht="24" customHeight="1" x14ac:dyDescent="0.2">
      <c r="A13" s="15">
        <v>45020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f>38+38</f>
        <v>76</v>
      </c>
      <c r="L13" s="16"/>
      <c r="M13" s="17"/>
      <c r="N13" s="17"/>
      <c r="O13" s="17"/>
      <c r="P13" s="5">
        <f t="shared" si="0"/>
        <v>164.2</v>
      </c>
    </row>
    <row r="14" spans="1:16" ht="24" customHeight="1" x14ac:dyDescent="0.2">
      <c r="A14" s="27">
        <v>45021</v>
      </c>
      <c r="B14" s="18">
        <f>36.75+29.4+29.4+29.4</f>
        <v>124.95000000000002</v>
      </c>
      <c r="C14" s="18"/>
      <c r="D14" s="18"/>
      <c r="E14" s="18"/>
      <c r="F14" s="18"/>
      <c r="G14" s="18"/>
      <c r="H14" s="18"/>
      <c r="I14" s="18"/>
      <c r="J14" s="18"/>
      <c r="K14" s="18">
        <f>38+38+38</f>
        <v>114</v>
      </c>
      <c r="L14" s="18"/>
      <c r="M14" s="17"/>
      <c r="N14" s="17"/>
      <c r="O14" s="17"/>
      <c r="P14" s="5">
        <f t="shared" si="0"/>
        <v>238.95000000000002</v>
      </c>
    </row>
    <row r="15" spans="1:16" ht="24" customHeight="1" x14ac:dyDescent="0.2">
      <c r="A15" s="27">
        <v>45022</v>
      </c>
      <c r="B15" s="18">
        <f>36.75</f>
        <v>36.75</v>
      </c>
      <c r="C15" s="18"/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37.369999999999997</v>
      </c>
    </row>
    <row r="16" spans="1:16" ht="24" customHeight="1" x14ac:dyDescent="0.2">
      <c r="A16" s="29">
        <v>45026</v>
      </c>
      <c r="B16" s="18"/>
      <c r="C16" s="18"/>
      <c r="D16" s="18"/>
      <c r="E16" s="18"/>
      <c r="F16" s="18"/>
      <c r="G16" s="18"/>
      <c r="H16" s="18"/>
      <c r="I16" s="18"/>
      <c r="J16" s="18"/>
      <c r="K16" s="18">
        <f>28.75</f>
        <v>28.75</v>
      </c>
      <c r="L16" s="18"/>
      <c r="M16" s="17"/>
      <c r="N16" s="17"/>
      <c r="O16" s="17"/>
      <c r="P16" s="5">
        <f t="shared" si="0"/>
        <v>28.75</v>
      </c>
    </row>
    <row r="17" spans="1:18" ht="24" customHeight="1" x14ac:dyDescent="0.2">
      <c r="A17" s="29">
        <v>45027</v>
      </c>
      <c r="B17" s="18">
        <f>73.5</f>
        <v>73.5</v>
      </c>
      <c r="C17" s="18">
        <f>27.48</f>
        <v>27.48</v>
      </c>
      <c r="D17" s="18"/>
      <c r="E17" s="18"/>
      <c r="F17" s="18">
        <f>20.5</f>
        <v>20.5</v>
      </c>
      <c r="G17" s="18"/>
      <c r="H17" s="18">
        <f>20.5</f>
        <v>20.5</v>
      </c>
      <c r="I17" s="18"/>
      <c r="J17" s="18">
        <f>0.62</f>
        <v>0.62</v>
      </c>
      <c r="K17" s="18">
        <f>38+38</f>
        <v>76</v>
      </c>
      <c r="L17" s="18"/>
      <c r="M17" s="17"/>
      <c r="N17" s="17"/>
      <c r="O17" s="17"/>
      <c r="P17" s="5">
        <f>SUM(B17:L17)</f>
        <v>218.60000000000002</v>
      </c>
    </row>
    <row r="18" spans="1:18" ht="24" customHeight="1" x14ac:dyDescent="0.2">
      <c r="A18" s="29">
        <v>45028</v>
      </c>
      <c r="B18" s="18">
        <f>29.4</f>
        <v>29.4</v>
      </c>
      <c r="C18" s="18">
        <f>7.71+5.25+6.36+7.16+7.5+6.56+4.8+5.01</f>
        <v>50.35</v>
      </c>
      <c r="D18" s="18"/>
      <c r="E18" s="18"/>
      <c r="F18" s="18"/>
      <c r="G18" s="18"/>
      <c r="H18" s="18"/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80.37</v>
      </c>
    </row>
    <row r="19" spans="1:18" ht="24" customHeight="1" x14ac:dyDescent="0.2">
      <c r="A19" s="29">
        <v>45034</v>
      </c>
      <c r="B19" s="18">
        <f>29.4</f>
        <v>29.4</v>
      </c>
      <c r="C19" s="18"/>
      <c r="D19" s="18"/>
      <c r="E19" s="18"/>
      <c r="F19" s="18">
        <f>20.5+20.5</f>
        <v>41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70.400000000000006</v>
      </c>
    </row>
    <row r="20" spans="1:18" ht="24" customHeight="1" x14ac:dyDescent="0.2">
      <c r="A20" s="29">
        <v>45035</v>
      </c>
      <c r="B20" s="18"/>
      <c r="C20" s="18"/>
      <c r="D20" s="18"/>
      <c r="E20" s="18"/>
      <c r="F20" s="18"/>
      <c r="G20" s="18"/>
      <c r="H20" s="18"/>
      <c r="I20" s="18"/>
      <c r="J20" s="18"/>
      <c r="K20" s="18">
        <f>38</f>
        <v>38</v>
      </c>
      <c r="L20" s="18"/>
      <c r="M20" s="17"/>
      <c r="N20" s="17"/>
      <c r="O20" s="17"/>
      <c r="P20" s="5">
        <f t="shared" si="0"/>
        <v>38</v>
      </c>
    </row>
    <row r="21" spans="1:18" ht="24" customHeight="1" x14ac:dyDescent="0.2">
      <c r="A21" s="29">
        <v>45036</v>
      </c>
      <c r="B21" s="18">
        <f>36.75</f>
        <v>36.75</v>
      </c>
      <c r="C21" s="18"/>
      <c r="D21" s="18"/>
      <c r="E21" s="18"/>
      <c r="F21" s="18">
        <f>20.5</f>
        <v>20.5</v>
      </c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95.25</v>
      </c>
    </row>
    <row r="22" spans="1:18" ht="24" customHeight="1" x14ac:dyDescent="0.2">
      <c r="A22" s="29">
        <v>45040</v>
      </c>
      <c r="B22" s="18">
        <v>14.7</v>
      </c>
      <c r="C22" s="18"/>
      <c r="D22" s="18">
        <f>136.83</f>
        <v>136.83000000000001</v>
      </c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151.53</v>
      </c>
    </row>
    <row r="23" spans="1:18" ht="24" customHeight="1" x14ac:dyDescent="0.2">
      <c r="A23" s="29">
        <v>45041</v>
      </c>
      <c r="B23" s="18">
        <f>29.4</f>
        <v>29.4</v>
      </c>
      <c r="C23" s="18">
        <f>2.4+6.54+7.6+7.27+9.2+8.41+1.15</f>
        <v>42.57</v>
      </c>
      <c r="D23" s="18"/>
      <c r="E23" s="18"/>
      <c r="F23" s="18"/>
      <c r="G23" s="18"/>
      <c r="H23" s="18"/>
      <c r="I23" s="18">
        <f>1.82+2.67</f>
        <v>4.49</v>
      </c>
      <c r="J23" s="18">
        <f>0.62</f>
        <v>0.62</v>
      </c>
      <c r="K23" s="18"/>
      <c r="L23" s="18"/>
      <c r="M23" s="17"/>
      <c r="N23" s="17"/>
      <c r="O23" s="17"/>
      <c r="P23" s="5">
        <f t="shared" si="0"/>
        <v>77.08</v>
      </c>
    </row>
    <row r="24" spans="1:18" ht="24" customHeight="1" x14ac:dyDescent="0.2">
      <c r="A24" s="19">
        <v>45042</v>
      </c>
      <c r="B24" s="18">
        <f>73.5</f>
        <v>73.5</v>
      </c>
      <c r="C24" s="18"/>
      <c r="D24" s="18"/>
      <c r="E24" s="18"/>
      <c r="F24" s="18">
        <f>20.5</f>
        <v>20.5</v>
      </c>
      <c r="G24" s="18"/>
      <c r="H24" s="18">
        <f>20.5</f>
        <v>20.5</v>
      </c>
      <c r="I24" s="18"/>
      <c r="J24" s="18"/>
      <c r="K24" s="18"/>
      <c r="L24" s="18"/>
      <c r="M24" s="17"/>
      <c r="N24" s="17"/>
      <c r="O24" s="17"/>
      <c r="P24" s="5">
        <f t="shared" si="0"/>
        <v>114.5</v>
      </c>
    </row>
    <row r="25" spans="1:18" ht="24" customHeight="1" x14ac:dyDescent="0.2">
      <c r="A25" s="19">
        <v>45043</v>
      </c>
      <c r="B25" s="25">
        <f>147+36.75</f>
        <v>183.75</v>
      </c>
      <c r="C25" s="18"/>
      <c r="D25" s="18">
        <f>40.85+204.25</f>
        <v>245.1</v>
      </c>
      <c r="E25" s="18">
        <f>230.34</f>
        <v>230.34</v>
      </c>
      <c r="F25" s="18"/>
      <c r="G25" s="18"/>
      <c r="H25" s="18"/>
      <c r="I25" s="18"/>
      <c r="J25" s="18"/>
      <c r="K25" s="18">
        <f>38</f>
        <v>38</v>
      </c>
      <c r="L25" s="18"/>
      <c r="M25" s="17"/>
      <c r="N25" s="17"/>
      <c r="O25" s="17"/>
      <c r="P25" s="5">
        <f t="shared" si="0"/>
        <v>697.19</v>
      </c>
    </row>
    <row r="26" spans="1:18" ht="24" customHeight="1" x14ac:dyDescent="0.2">
      <c r="A26" s="19">
        <v>45044</v>
      </c>
      <c r="B26" s="18">
        <f>29.4</f>
        <v>29.4</v>
      </c>
      <c r="C26" s="18"/>
      <c r="D26" s="18"/>
      <c r="E26" s="18"/>
      <c r="F26" s="18"/>
      <c r="G26" s="18"/>
      <c r="H26" s="18"/>
      <c r="I26" s="18"/>
      <c r="J26" s="18"/>
      <c r="K26" s="18">
        <f>38+38</f>
        <v>76</v>
      </c>
      <c r="L26" s="18"/>
      <c r="M26" s="17"/>
      <c r="N26" s="17"/>
      <c r="O26" s="17"/>
      <c r="P26" s="5">
        <f t="shared" si="0"/>
        <v>105.4</v>
      </c>
    </row>
    <row r="27" spans="1:18" s="36" customFormat="1" ht="24" customHeight="1" x14ac:dyDescent="0.2">
      <c r="A27" s="30" t="s">
        <v>2</v>
      </c>
      <c r="B27" s="33">
        <f t="shared" ref="B27:P27" si="1">SUM(B12:B26)</f>
        <v>1427.1300000000003</v>
      </c>
      <c r="C27" s="33">
        <f t="shared" si="1"/>
        <v>209.2</v>
      </c>
      <c r="D27" s="33">
        <f t="shared" si="1"/>
        <v>1572.5399999999997</v>
      </c>
      <c r="E27" s="33">
        <f t="shared" si="1"/>
        <v>641.27</v>
      </c>
      <c r="F27" s="33">
        <f t="shared" si="1"/>
        <v>102.5</v>
      </c>
      <c r="G27" s="33">
        <f t="shared" si="1"/>
        <v>0</v>
      </c>
      <c r="H27" s="33">
        <f t="shared" si="1"/>
        <v>59.5</v>
      </c>
      <c r="I27" s="33">
        <f t="shared" si="1"/>
        <v>4.49</v>
      </c>
      <c r="J27" s="33">
        <f t="shared" si="1"/>
        <v>4.34</v>
      </c>
      <c r="K27" s="33">
        <f t="shared" si="1"/>
        <v>522.75</v>
      </c>
      <c r="L27" s="33">
        <f t="shared" si="1"/>
        <v>0</v>
      </c>
      <c r="M27" s="34">
        <f t="shared" si="1"/>
        <v>0</v>
      </c>
      <c r="N27" s="34">
        <f t="shared" si="1"/>
        <v>0</v>
      </c>
      <c r="O27" s="34">
        <f t="shared" si="1"/>
        <v>0</v>
      </c>
      <c r="P27" s="35">
        <f t="shared" si="1"/>
        <v>4543.7199999999993</v>
      </c>
      <c r="R27" s="37"/>
    </row>
    <row r="28" spans="1:18" x14ac:dyDescent="0.2">
      <c r="A28" s="24"/>
      <c r="B28" s="31" t="s">
        <v>34</v>
      </c>
      <c r="C28" s="31"/>
      <c r="D28" s="31" t="s">
        <v>34</v>
      </c>
      <c r="E28" s="31"/>
      <c r="F28" s="31" t="s">
        <v>34</v>
      </c>
      <c r="G28" s="31"/>
      <c r="H28" s="31" t="s">
        <v>34</v>
      </c>
      <c r="I28" s="31" t="s">
        <v>34</v>
      </c>
      <c r="J28" s="31" t="s">
        <v>34</v>
      </c>
      <c r="K28" s="31" t="s">
        <v>34</v>
      </c>
      <c r="L28" s="31"/>
      <c r="M28" s="55" t="s">
        <v>30</v>
      </c>
      <c r="N28" s="55"/>
      <c r="O28" s="55"/>
      <c r="P28" s="55"/>
    </row>
    <row r="29" spans="1:18" x14ac:dyDescent="0.2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6"/>
    </row>
    <row r="30" spans="1:18" x14ac:dyDescent="0.2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M28:P28"/>
    <mergeCell ref="O9:O11"/>
    <mergeCell ref="P9:P11"/>
    <mergeCell ref="J9:J11"/>
    <mergeCell ref="K9:K11"/>
    <mergeCell ref="L9:L11"/>
    <mergeCell ref="M9:M11"/>
    <mergeCell ref="N9:N11"/>
  </mergeCells>
  <printOptions horizontalCentered="1"/>
  <pageMargins left="0.19685039370078741" right="0.19685039370078741" top="0.39370078740157483" bottom="0.39370078740157483" header="0.51181102362204722" footer="0.51181102362204722"/>
  <pageSetup paperSize="9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34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U20" sqref="U20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2" t="s">
        <v>33</v>
      </c>
    </row>
    <row r="7" spans="1:16" ht="12" x14ac:dyDescent="0.2">
      <c r="A7" s="57">
        <v>45047</v>
      </c>
      <c r="B7" s="57"/>
      <c r="D7" s="14"/>
      <c r="E7" s="14"/>
      <c r="F7" s="14"/>
      <c r="G7" s="14"/>
      <c r="H7" s="14"/>
    </row>
    <row r="9" spans="1:16" ht="15" customHeight="1" x14ac:dyDescent="0.2">
      <c r="A9" s="58"/>
      <c r="B9" s="56" t="s">
        <v>28</v>
      </c>
      <c r="C9" s="56" t="s">
        <v>16</v>
      </c>
      <c r="D9" s="56" t="s">
        <v>29</v>
      </c>
      <c r="E9" s="56" t="s">
        <v>17</v>
      </c>
      <c r="F9" s="56" t="s">
        <v>18</v>
      </c>
      <c r="G9" s="56" t="s">
        <v>19</v>
      </c>
      <c r="H9" s="56" t="s">
        <v>20</v>
      </c>
      <c r="I9" s="56" t="s">
        <v>21</v>
      </c>
      <c r="J9" s="56" t="s">
        <v>22</v>
      </c>
      <c r="K9" s="56" t="s">
        <v>23</v>
      </c>
      <c r="L9" s="56" t="s">
        <v>24</v>
      </c>
      <c r="M9" s="53" t="s">
        <v>25</v>
      </c>
      <c r="N9" s="53" t="s">
        <v>26</v>
      </c>
      <c r="O9" s="53" t="s">
        <v>27</v>
      </c>
      <c r="P9" s="54" t="s">
        <v>1</v>
      </c>
    </row>
    <row r="10" spans="1:16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3"/>
      <c r="N10" s="53"/>
      <c r="O10" s="53"/>
      <c r="P10" s="54"/>
    </row>
    <row r="11" spans="1:16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3"/>
      <c r="N11" s="53"/>
      <c r="O11" s="53"/>
      <c r="P11" s="54"/>
    </row>
    <row r="12" spans="1:16" ht="23.25" customHeight="1" x14ac:dyDescent="0.2">
      <c r="A12" s="15">
        <v>44683</v>
      </c>
      <c r="B12" s="16">
        <f>36.75+29.4+99.66+29.4+29.4+29.4+29.4+29.4+29.4+14.7+29.4+29.4+12.25+29.4+29.4+36.75+29.4</f>
        <v>552.90999999999985</v>
      </c>
      <c r="C12" s="16">
        <f>10.97+17.73+13.68+28.32+18.59+12</f>
        <v>101.29</v>
      </c>
      <c r="D12" s="16">
        <f>82.1+82.1+17.11+123.3+82.1+204.25+820.25</f>
        <v>1411.21</v>
      </c>
      <c r="E12" s="16">
        <f>17.42+20.33+72.96+68.27+61.14+102.17+12.79+24.88+23.27+22.38+20.33+17.42</f>
        <v>463.36</v>
      </c>
      <c r="F12" s="16"/>
      <c r="G12" s="16">
        <f>61.75</f>
        <v>61.75</v>
      </c>
      <c r="H12" s="16"/>
      <c r="I12" s="16">
        <v>0.56999999999999995</v>
      </c>
      <c r="J12" s="16">
        <f>0.63+0.62+0.63+0.62+0.62+0.62</f>
        <v>3.74</v>
      </c>
      <c r="K12" s="16"/>
      <c r="L12" s="16"/>
      <c r="M12" s="17"/>
      <c r="N12" s="17"/>
      <c r="O12" s="17"/>
      <c r="P12" s="5">
        <f t="shared" ref="P12:P30" si="0">SUM(B12:L12)</f>
        <v>2594.83</v>
      </c>
    </row>
    <row r="13" spans="1:16" ht="23.25" customHeight="1" x14ac:dyDescent="0.2">
      <c r="A13" s="15">
        <v>44319</v>
      </c>
      <c r="B13" s="16">
        <f>29.4+36.75+29.4+29.4</f>
        <v>124.95000000000002</v>
      </c>
      <c r="C13" s="16"/>
      <c r="D13" s="16">
        <f>41.05</f>
        <v>41.05</v>
      </c>
      <c r="E13" s="16">
        <f>40.32</f>
        <v>40.32</v>
      </c>
      <c r="F13" s="16"/>
      <c r="G13" s="16"/>
      <c r="H13" s="16"/>
      <c r="I13" s="16"/>
      <c r="J13" s="16">
        <f>0.62</f>
        <v>0.62</v>
      </c>
      <c r="K13" s="16"/>
      <c r="L13" s="16"/>
      <c r="M13" s="17"/>
      <c r="N13" s="17"/>
      <c r="O13" s="17"/>
      <c r="P13" s="5">
        <f t="shared" si="0"/>
        <v>206.94</v>
      </c>
    </row>
    <row r="14" spans="1:16" ht="24" customHeight="1" x14ac:dyDescent="0.2">
      <c r="A14" s="15">
        <v>44320</v>
      </c>
      <c r="B14" s="16">
        <f>49+36.75</f>
        <v>85.75</v>
      </c>
      <c r="C14" s="16"/>
      <c r="D14" s="16"/>
      <c r="E14" s="16"/>
      <c r="F14" s="16"/>
      <c r="G14" s="16"/>
      <c r="H14" s="16"/>
      <c r="I14" s="16"/>
      <c r="J14" s="16">
        <f>0.62</f>
        <v>0.62</v>
      </c>
      <c r="K14" s="16"/>
      <c r="L14" s="16"/>
      <c r="M14" s="17"/>
      <c r="N14" s="17"/>
      <c r="O14" s="17"/>
      <c r="P14" s="5">
        <f t="shared" si="0"/>
        <v>86.37</v>
      </c>
    </row>
    <row r="15" spans="1:16" ht="24" customHeight="1" x14ac:dyDescent="0.2">
      <c r="A15" s="27">
        <v>44321</v>
      </c>
      <c r="B15" s="18">
        <f>29.4+29.4</f>
        <v>58.8</v>
      </c>
      <c r="C15" s="18"/>
      <c r="D15" s="18"/>
      <c r="E15" s="18"/>
      <c r="F15" s="18"/>
      <c r="G15" s="18"/>
      <c r="H15" s="18"/>
      <c r="I15" s="18"/>
      <c r="J15" s="18"/>
      <c r="K15" s="18">
        <f>38</f>
        <v>38</v>
      </c>
      <c r="L15" s="18"/>
      <c r="M15" s="17"/>
      <c r="N15" s="17"/>
      <c r="O15" s="17"/>
      <c r="P15" s="5">
        <f t="shared" si="0"/>
        <v>96.8</v>
      </c>
    </row>
    <row r="16" spans="1:16" ht="24" customHeight="1" x14ac:dyDescent="0.2">
      <c r="A16" s="27">
        <v>45054</v>
      </c>
      <c r="B16" s="18">
        <f>14.7</f>
        <v>14.7</v>
      </c>
      <c r="C16" s="18"/>
      <c r="D16" s="18">
        <f>82.1</f>
        <v>82.1</v>
      </c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96.8</v>
      </c>
    </row>
    <row r="17" spans="1:18" ht="24" customHeight="1" x14ac:dyDescent="0.2">
      <c r="A17" s="29">
        <v>44690</v>
      </c>
      <c r="B17" s="18">
        <f>29.4+29.4</f>
        <v>58.8</v>
      </c>
      <c r="C17" s="18"/>
      <c r="D17" s="18"/>
      <c r="E17" s="18"/>
      <c r="F17" s="18">
        <f>20.5</f>
        <v>20.5</v>
      </c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79.3</v>
      </c>
    </row>
    <row r="18" spans="1:18" ht="24" customHeight="1" x14ac:dyDescent="0.2">
      <c r="A18" s="29">
        <v>44691</v>
      </c>
      <c r="B18" s="18"/>
      <c r="C18" s="18">
        <f>31.54+178.72</f>
        <v>210.26</v>
      </c>
      <c r="D18" s="18"/>
      <c r="E18" s="18"/>
      <c r="F18" s="18"/>
      <c r="G18" s="18"/>
      <c r="H18" s="18"/>
      <c r="I18" s="18">
        <f>52.23</f>
        <v>52.23</v>
      </c>
      <c r="J18" s="18">
        <f>0.62</f>
        <v>0.62</v>
      </c>
      <c r="K18" s="18"/>
      <c r="L18" s="18"/>
      <c r="M18" s="17"/>
      <c r="N18" s="17"/>
      <c r="O18" s="17"/>
      <c r="P18" s="5">
        <f t="shared" si="0"/>
        <v>263.11</v>
      </c>
    </row>
    <row r="19" spans="1:18" ht="24" customHeight="1" x14ac:dyDescent="0.2">
      <c r="A19" s="29">
        <v>44692</v>
      </c>
      <c r="B19" s="18">
        <f>29.4+147+36.75</f>
        <v>213.15</v>
      </c>
      <c r="C19" s="18">
        <f>28</f>
        <v>28</v>
      </c>
      <c r="D19" s="18">
        <f>136.83</f>
        <v>136.83000000000001</v>
      </c>
      <c r="E19" s="18"/>
      <c r="F19" s="18"/>
      <c r="G19" s="18"/>
      <c r="H19" s="18"/>
      <c r="I19" s="18"/>
      <c r="J19" s="18">
        <f>0.62</f>
        <v>0.62</v>
      </c>
      <c r="K19" s="18"/>
      <c r="L19" s="18"/>
      <c r="M19" s="17"/>
      <c r="N19" s="17"/>
      <c r="O19" s="17"/>
      <c r="P19" s="5">
        <f t="shared" si="0"/>
        <v>378.6</v>
      </c>
    </row>
    <row r="20" spans="1:18" ht="24" customHeight="1" x14ac:dyDescent="0.2">
      <c r="A20" s="29">
        <v>45061</v>
      </c>
      <c r="B20" s="18">
        <f>147</f>
        <v>147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147</v>
      </c>
    </row>
    <row r="21" spans="1:18" ht="24" customHeight="1" x14ac:dyDescent="0.2">
      <c r="A21" s="29">
        <v>45063</v>
      </c>
      <c r="B21" s="18"/>
      <c r="C21" s="18"/>
      <c r="D21" s="18"/>
      <c r="E21" s="18"/>
      <c r="F21" s="18"/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38</v>
      </c>
    </row>
    <row r="22" spans="1:18" ht="24" customHeight="1" x14ac:dyDescent="0.2">
      <c r="A22" s="19">
        <v>45064</v>
      </c>
      <c r="B22" s="18">
        <f>36.75</f>
        <v>36.75</v>
      </c>
      <c r="C22" s="18"/>
      <c r="D22" s="18"/>
      <c r="E22" s="18"/>
      <c r="F22" s="18"/>
      <c r="G22" s="18"/>
      <c r="H22" s="18"/>
      <c r="I22" s="18">
        <f>7.32</f>
        <v>7.32</v>
      </c>
      <c r="J22" s="18">
        <f>0.62</f>
        <v>0.62</v>
      </c>
      <c r="K22" s="18">
        <f>38</f>
        <v>38</v>
      </c>
      <c r="L22" s="18"/>
      <c r="M22" s="17"/>
      <c r="N22" s="17"/>
      <c r="O22" s="17"/>
      <c r="P22" s="5">
        <f t="shared" si="0"/>
        <v>82.69</v>
      </c>
    </row>
    <row r="23" spans="1:18" ht="24" customHeight="1" x14ac:dyDescent="0.2">
      <c r="A23" s="19">
        <v>45065</v>
      </c>
      <c r="B23" s="18">
        <f>49</f>
        <v>49</v>
      </c>
      <c r="C23" s="18"/>
      <c r="D23" s="18">
        <f>410.5+61.75+204.25</f>
        <v>676.5</v>
      </c>
      <c r="E23" s="18"/>
      <c r="F23" s="18"/>
      <c r="G23" s="18">
        <f>61.75</f>
        <v>61.75</v>
      </c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787.87</v>
      </c>
    </row>
    <row r="24" spans="1:18" ht="24" customHeight="1" x14ac:dyDescent="0.2">
      <c r="A24" s="19">
        <v>45068</v>
      </c>
      <c r="B24" s="18"/>
      <c r="C24" s="18"/>
      <c r="D24" s="18">
        <f>410.5</f>
        <v>410.5</v>
      </c>
      <c r="E24" s="18"/>
      <c r="F24" s="18"/>
      <c r="G24" s="18">
        <f>61.75</f>
        <v>61.75</v>
      </c>
      <c r="H24" s="18"/>
      <c r="I24" s="18"/>
      <c r="J24" s="18"/>
      <c r="K24" s="18"/>
      <c r="L24" s="18"/>
      <c r="M24" s="17"/>
      <c r="N24" s="17"/>
      <c r="O24" s="17"/>
      <c r="P24" s="5">
        <f t="shared" si="0"/>
        <v>472.25</v>
      </c>
    </row>
    <row r="25" spans="1:18" ht="24" customHeight="1" x14ac:dyDescent="0.2">
      <c r="A25" s="19">
        <v>45069</v>
      </c>
      <c r="B25" s="18">
        <f>73.5</f>
        <v>73.5</v>
      </c>
      <c r="C25" s="18"/>
      <c r="D25" s="18"/>
      <c r="E25" s="18"/>
      <c r="F25" s="18">
        <f>20.5</f>
        <v>20.5</v>
      </c>
      <c r="G25" s="18"/>
      <c r="H25" s="18">
        <f>20.5</f>
        <v>20.5</v>
      </c>
      <c r="I25" s="18"/>
      <c r="J25" s="18"/>
      <c r="K25" s="18"/>
      <c r="L25" s="18"/>
      <c r="M25" s="17"/>
      <c r="N25" s="17"/>
      <c r="O25" s="17"/>
      <c r="P25" s="5">
        <f t="shared" si="0"/>
        <v>114.5</v>
      </c>
    </row>
    <row r="26" spans="1:18" ht="24" customHeight="1" x14ac:dyDescent="0.2">
      <c r="A26" s="19">
        <v>45070</v>
      </c>
      <c r="B26" s="18"/>
      <c r="C26" s="18"/>
      <c r="D26" s="18"/>
      <c r="E26" s="18"/>
      <c r="F26" s="18"/>
      <c r="G26" s="18"/>
      <c r="H26" s="18"/>
      <c r="I26" s="18"/>
      <c r="J26" s="18"/>
      <c r="K26" s="18">
        <f>38</f>
        <v>38</v>
      </c>
      <c r="L26" s="18"/>
      <c r="M26" s="17"/>
      <c r="N26" s="17"/>
      <c r="O26" s="17"/>
      <c r="P26" s="5">
        <f t="shared" si="0"/>
        <v>38</v>
      </c>
    </row>
    <row r="27" spans="1:18" ht="24" customHeight="1" x14ac:dyDescent="0.2">
      <c r="A27" s="19">
        <v>45071</v>
      </c>
      <c r="B27" s="18"/>
      <c r="C27" s="18">
        <f>113.54</f>
        <v>113.54</v>
      </c>
      <c r="D27" s="18">
        <f>205.25</f>
        <v>205.25</v>
      </c>
      <c r="E27" s="18"/>
      <c r="F27" s="18"/>
      <c r="G27" s="18">
        <f>61.75</f>
        <v>61.75</v>
      </c>
      <c r="H27" s="18"/>
      <c r="I27" s="18"/>
      <c r="J27" s="18">
        <f>0.62</f>
        <v>0.62</v>
      </c>
      <c r="K27" s="18"/>
      <c r="L27" s="18"/>
      <c r="M27" s="17"/>
      <c r="N27" s="17"/>
      <c r="O27" s="17"/>
      <c r="P27" s="5">
        <f t="shared" si="0"/>
        <v>381.16</v>
      </c>
    </row>
    <row r="28" spans="1:18" ht="24" customHeight="1" x14ac:dyDescent="0.2">
      <c r="A28" s="19">
        <v>45075</v>
      </c>
      <c r="B28" s="18">
        <f>29.4+29.4</f>
        <v>58.8</v>
      </c>
      <c r="C28" s="18"/>
      <c r="D28" s="18">
        <f>205.25+410.5</f>
        <v>615.75</v>
      </c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674.55</v>
      </c>
    </row>
    <row r="29" spans="1:18" ht="24" customHeight="1" x14ac:dyDescent="0.2">
      <c r="A29" s="19">
        <v>45076</v>
      </c>
      <c r="B29" s="18">
        <f>36.75+36.75+12.25</f>
        <v>85.75</v>
      </c>
      <c r="C29" s="18">
        <f>12.09</f>
        <v>12.09</v>
      </c>
      <c r="D29" s="18">
        <f>17.1+82.1+410.5+204.25</f>
        <v>713.95</v>
      </c>
      <c r="E29" s="18">
        <f>20.5+17.58+12.87+25.06+23.44+22.56+20.5+17.58</f>
        <v>160.08999999999997</v>
      </c>
      <c r="F29" s="18"/>
      <c r="G29" s="18">
        <f>61.75</f>
        <v>61.75</v>
      </c>
      <c r="H29" s="18"/>
      <c r="I29" s="18">
        <v>0.56999999999999995</v>
      </c>
      <c r="J29" s="18">
        <f>0.62+0.62+0.62+0.62</f>
        <v>2.48</v>
      </c>
      <c r="K29" s="18">
        <f>38</f>
        <v>38</v>
      </c>
      <c r="L29" s="18"/>
      <c r="M29" s="17"/>
      <c r="N29" s="17"/>
      <c r="O29" s="17"/>
      <c r="P29" s="5">
        <f t="shared" si="0"/>
        <v>1074.68</v>
      </c>
    </row>
    <row r="30" spans="1:18" ht="24" customHeight="1" x14ac:dyDescent="0.2">
      <c r="A30" s="19">
        <v>45077</v>
      </c>
      <c r="B30" s="18">
        <f>29.4+147+29.4+29.4+147+29.4+36.75</f>
        <v>448.35</v>
      </c>
      <c r="C30" s="18"/>
      <c r="D30" s="18">
        <f>40.85</f>
        <v>40.85</v>
      </c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489.82000000000005</v>
      </c>
    </row>
    <row r="31" spans="1:18" ht="24" customHeight="1" x14ac:dyDescent="0.2">
      <c r="A31" s="29" t="s">
        <v>2</v>
      </c>
      <c r="B31" s="38">
        <f t="shared" ref="B31:P31" si="1">SUM(B12:B30)</f>
        <v>2008.21</v>
      </c>
      <c r="C31" s="38">
        <f t="shared" si="1"/>
        <v>465.18</v>
      </c>
      <c r="D31" s="38">
        <f t="shared" si="1"/>
        <v>4333.99</v>
      </c>
      <c r="E31" s="38">
        <f t="shared" si="1"/>
        <v>663.77</v>
      </c>
      <c r="F31" s="38">
        <f t="shared" si="1"/>
        <v>41</v>
      </c>
      <c r="G31" s="38">
        <f t="shared" si="1"/>
        <v>308.75</v>
      </c>
      <c r="H31" s="38">
        <f t="shared" si="1"/>
        <v>20.5</v>
      </c>
      <c r="I31" s="38">
        <f t="shared" si="1"/>
        <v>60.69</v>
      </c>
      <c r="J31" s="38">
        <f t="shared" si="1"/>
        <v>11.18</v>
      </c>
      <c r="K31" s="38">
        <f t="shared" si="1"/>
        <v>190</v>
      </c>
      <c r="L31" s="38">
        <f t="shared" si="1"/>
        <v>0</v>
      </c>
      <c r="M31" s="21">
        <f t="shared" si="1"/>
        <v>0</v>
      </c>
      <c r="N31" s="21">
        <f t="shared" si="1"/>
        <v>0</v>
      </c>
      <c r="O31" s="21">
        <f t="shared" si="1"/>
        <v>0</v>
      </c>
      <c r="P31" s="39">
        <f t="shared" si="1"/>
        <v>8103.27</v>
      </c>
      <c r="R31" s="28"/>
    </row>
    <row r="32" spans="1:18" ht="12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59" t="s">
        <v>32</v>
      </c>
      <c r="M32" s="59"/>
      <c r="N32" s="59"/>
      <c r="O32" s="59"/>
      <c r="P32" s="59"/>
    </row>
    <row r="33" spans="1:16" ht="24" customHeight="1" x14ac:dyDescent="0.2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6"/>
    </row>
    <row r="34" spans="1:16" ht="24" customHeight="1" x14ac:dyDescent="0.2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6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32:P32"/>
    <mergeCell ref="O9:O11"/>
    <mergeCell ref="P9:P11"/>
    <mergeCell ref="J9:J11"/>
    <mergeCell ref="K9:K11"/>
    <mergeCell ref="L9:L11"/>
    <mergeCell ref="M9:M11"/>
    <mergeCell ref="N9:N11"/>
  </mergeCells>
  <printOptions horizontalCentered="1"/>
  <pageMargins left="0.31496062992125984" right="0.31496062992125984" top="0.78740157480314965" bottom="0.78740157480314965" header="0.51181102362204722" footer="0.51181102362204722"/>
  <pageSetup paperSize="9" scale="8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4" zoomScaleNormal="100" workbookViewId="0">
      <pane xSplit="1" ySplit="1" topLeftCell="B5" activePane="bottomRight" state="frozen"/>
      <selection activeCell="A4" sqref="A4"/>
      <selection pane="topRight" activeCell="W4" sqref="W4"/>
      <selection pane="bottomLeft" activeCell="A25" sqref="A25"/>
      <selection pane="bottomRight" activeCell="A5" sqref="A5"/>
    </sheetView>
  </sheetViews>
  <sheetFormatPr defaultColWidth="9.140625" defaultRowHeight="20.100000000000001" customHeight="1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12.85546875" style="2" bestFit="1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12.85546875" style="2" customWidth="1"/>
    <col min="12" max="12" width="12.42578125" style="2" customWidth="1"/>
    <col min="13" max="13" width="7.5703125" style="2" customWidth="1"/>
    <col min="14" max="14" width="8" style="2" customWidth="1"/>
    <col min="15" max="15" width="7.85546875" style="2" customWidth="1"/>
    <col min="16" max="16" width="7.7109375" style="2" customWidth="1"/>
    <col min="17" max="17" width="9.140625" style="2"/>
    <col min="18" max="18" width="8.7109375" style="2" customWidth="1"/>
    <col min="19" max="16384" width="9.140625" style="2"/>
  </cols>
  <sheetData>
    <row r="1" spans="1:18" ht="11.25" x14ac:dyDescent="0.2"/>
    <row r="2" spans="1:18" ht="11.25" x14ac:dyDescent="0.2"/>
    <row r="3" spans="1:18" ht="11.25" x14ac:dyDescent="0.2"/>
    <row r="4" spans="1:18" ht="11.25" x14ac:dyDescent="0.2"/>
    <row r="5" spans="1:18" ht="12.75" x14ac:dyDescent="0.2">
      <c r="A5" s="42" t="s">
        <v>33</v>
      </c>
    </row>
    <row r="6" spans="1:18" ht="11.25" x14ac:dyDescent="0.2"/>
    <row r="7" spans="1:18" ht="12" x14ac:dyDescent="0.2">
      <c r="A7" s="57">
        <v>45078</v>
      </c>
      <c r="B7" s="57"/>
      <c r="D7" s="14"/>
      <c r="E7" s="14"/>
      <c r="F7" s="14"/>
      <c r="G7" s="14"/>
      <c r="H7" s="14"/>
    </row>
    <row r="8" spans="1:18" ht="11.25" x14ac:dyDescent="0.2"/>
    <row r="9" spans="1:18" ht="15" customHeight="1" x14ac:dyDescent="0.2">
      <c r="A9" s="58"/>
      <c r="B9" s="56" t="s">
        <v>28</v>
      </c>
      <c r="C9" s="56" t="s">
        <v>16</v>
      </c>
      <c r="D9" s="56" t="s">
        <v>29</v>
      </c>
      <c r="E9" s="56" t="s">
        <v>17</v>
      </c>
      <c r="F9" s="56" t="s">
        <v>18</v>
      </c>
      <c r="G9" s="56" t="s">
        <v>19</v>
      </c>
      <c r="H9" s="56" t="s">
        <v>20</v>
      </c>
      <c r="I9" s="56" t="s">
        <v>21</v>
      </c>
      <c r="J9" s="56" t="s">
        <v>22</v>
      </c>
      <c r="K9" s="56" t="s">
        <v>38</v>
      </c>
      <c r="L9" s="56" t="s">
        <v>36</v>
      </c>
      <c r="M9" s="56" t="s">
        <v>23</v>
      </c>
      <c r="N9" s="56" t="s">
        <v>24</v>
      </c>
      <c r="O9" s="53" t="s">
        <v>25</v>
      </c>
      <c r="P9" s="53" t="s">
        <v>26</v>
      </c>
      <c r="Q9" s="53" t="s">
        <v>27</v>
      </c>
      <c r="R9" s="54" t="s">
        <v>1</v>
      </c>
    </row>
    <row r="10" spans="1:18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3"/>
      <c r="P10" s="53"/>
      <c r="Q10" s="53"/>
      <c r="R10" s="54"/>
    </row>
    <row r="11" spans="1:18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3"/>
      <c r="P11" s="53"/>
      <c r="Q11" s="53"/>
      <c r="R11" s="54"/>
    </row>
    <row r="12" spans="1:18" ht="23.25" customHeight="1" x14ac:dyDescent="0.2">
      <c r="A12" s="15">
        <v>45078</v>
      </c>
      <c r="B12" s="16">
        <f>29.4+147+29.4+29.4+29.4+147+147+14.7+14.7+29.4+147+29.4+29.4+29.4+29.4</f>
        <v>882</v>
      </c>
      <c r="C12" s="16">
        <f>7.7+7.36+9.34+2.42+6.62+8.54+1.17+28.51+13.77+10.97+17.84+18.71+169.08+11.16+9.73+12.16+4.16+11.84</f>
        <v>351.08000000000004</v>
      </c>
      <c r="D12" s="16">
        <f>82.1+82.1+123.3+82.1+204.25+82.1+410.5+410.5+102.12</f>
        <v>1579.0700000000002</v>
      </c>
      <c r="E12" s="16">
        <f>93.83+103.94+116.82</f>
        <v>314.58999999999997</v>
      </c>
      <c r="F12" s="16"/>
      <c r="G12" s="16"/>
      <c r="H12" s="16"/>
      <c r="I12" s="16">
        <f>2.71+1.84</f>
        <v>4.55</v>
      </c>
      <c r="J12" s="16">
        <f>0.62+0.62+0.62+0.62+0.62+0.62</f>
        <v>3.72</v>
      </c>
      <c r="K12" s="16"/>
      <c r="L12" s="16"/>
      <c r="M12" s="16"/>
      <c r="N12" s="16"/>
      <c r="O12" s="17"/>
      <c r="P12" s="17"/>
      <c r="Q12" s="17"/>
      <c r="R12" s="5">
        <f t="shared" ref="R12:R25" si="0">SUM(B12:N12)</f>
        <v>3135.01</v>
      </c>
    </row>
    <row r="13" spans="1:18" ht="23.25" customHeight="1" x14ac:dyDescent="0.2">
      <c r="A13" s="15">
        <v>45079</v>
      </c>
      <c r="B13" s="16"/>
      <c r="C13" s="16"/>
      <c r="D13" s="16">
        <f>45.83</f>
        <v>45.83</v>
      </c>
      <c r="E13" s="16">
        <f>47.53</f>
        <v>47.53</v>
      </c>
      <c r="F13" s="16"/>
      <c r="G13" s="16"/>
      <c r="H13" s="16"/>
      <c r="I13" s="16"/>
      <c r="J13" s="16">
        <f>0.62</f>
        <v>0.62</v>
      </c>
      <c r="K13" s="16"/>
      <c r="L13" s="16"/>
      <c r="M13" s="16"/>
      <c r="N13" s="16"/>
      <c r="O13" s="17"/>
      <c r="P13" s="17"/>
      <c r="Q13" s="17"/>
      <c r="R13" s="5">
        <f t="shared" si="0"/>
        <v>93.98</v>
      </c>
    </row>
    <row r="14" spans="1:18" ht="24" customHeight="1" x14ac:dyDescent="0.2">
      <c r="A14" s="15">
        <v>45082</v>
      </c>
      <c r="B14" s="18">
        <f>6.84+32.82</f>
        <v>39.659999999999997</v>
      </c>
      <c r="C14" s="18">
        <f>34.06+7.1+7.49</f>
        <v>48.650000000000006</v>
      </c>
      <c r="D14" s="18"/>
      <c r="E14" s="18"/>
      <c r="F14" s="18"/>
      <c r="G14" s="18"/>
      <c r="H14" s="18"/>
      <c r="I14" s="18"/>
      <c r="J14" s="18">
        <f>0.62+0.62</f>
        <v>1.24</v>
      </c>
      <c r="K14" s="18"/>
      <c r="L14" s="18"/>
      <c r="M14" s="18"/>
      <c r="N14" s="18"/>
      <c r="O14" s="17"/>
      <c r="P14" s="17"/>
      <c r="Q14" s="17"/>
      <c r="R14" s="5">
        <f t="shared" si="0"/>
        <v>89.55</v>
      </c>
    </row>
    <row r="15" spans="1:18" ht="24" customHeight="1" x14ac:dyDescent="0.2">
      <c r="A15" s="15">
        <v>45083</v>
      </c>
      <c r="B15" s="18">
        <f>32.82</f>
        <v>32.82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7"/>
      <c r="P15" s="17"/>
      <c r="Q15" s="17"/>
      <c r="R15" s="5">
        <f t="shared" si="0"/>
        <v>32.82</v>
      </c>
    </row>
    <row r="16" spans="1:18" ht="24" customHeight="1" x14ac:dyDescent="0.2">
      <c r="A16" s="15">
        <v>45084</v>
      </c>
      <c r="B16" s="18">
        <f>32.82+32.82</f>
        <v>65.64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>
        <f>38</f>
        <v>38</v>
      </c>
      <c r="N16" s="18"/>
      <c r="O16" s="17"/>
      <c r="P16" s="17"/>
      <c r="Q16" s="17"/>
      <c r="R16" s="5">
        <f t="shared" si="0"/>
        <v>103.64</v>
      </c>
    </row>
    <row r="17" spans="1:20" ht="24" customHeight="1" x14ac:dyDescent="0.2">
      <c r="A17" s="15">
        <v>45089</v>
      </c>
      <c r="B17" s="18">
        <f>30.2+50.68</f>
        <v>80.88</v>
      </c>
      <c r="C17" s="18"/>
      <c r="D17" s="18"/>
      <c r="E17" s="18"/>
      <c r="F17" s="18"/>
      <c r="G17" s="18"/>
      <c r="H17" s="18"/>
      <c r="I17" s="18"/>
      <c r="J17" s="18">
        <f>0.62+0.62</f>
        <v>1.24</v>
      </c>
      <c r="K17" s="18"/>
      <c r="L17" s="18"/>
      <c r="M17" s="18"/>
      <c r="N17" s="18"/>
      <c r="O17" s="17"/>
      <c r="P17" s="17"/>
      <c r="Q17" s="17"/>
      <c r="R17" s="5">
        <f t="shared" si="0"/>
        <v>82.11999999999999</v>
      </c>
    </row>
    <row r="18" spans="1:20" ht="24" customHeight="1" x14ac:dyDescent="0.2">
      <c r="A18" s="15">
        <v>45096</v>
      </c>
      <c r="B18" s="18">
        <f>41.03+6.84</f>
        <v>47.870000000000005</v>
      </c>
      <c r="C18" s="18">
        <f>34.72+34.8+10.34+7.1+8.56+9.62+9.47</f>
        <v>114.61</v>
      </c>
      <c r="D18" s="18">
        <f>410.5</f>
        <v>410.5</v>
      </c>
      <c r="E18" s="18"/>
      <c r="F18" s="18"/>
      <c r="G18" s="18">
        <f>61.75</f>
        <v>61.75</v>
      </c>
      <c r="H18" s="18"/>
      <c r="I18" s="18"/>
      <c r="J18" s="18">
        <f>0.62+0.62</f>
        <v>1.24</v>
      </c>
      <c r="K18" s="18">
        <f>53.5</f>
        <v>53.5</v>
      </c>
      <c r="L18" s="18">
        <f>20.75</f>
        <v>20.75</v>
      </c>
      <c r="M18" s="18">
        <f>31.5</f>
        <v>31.5</v>
      </c>
      <c r="N18" s="18"/>
      <c r="O18" s="17"/>
      <c r="P18" s="17"/>
      <c r="Q18" s="17"/>
      <c r="R18" s="5">
        <f t="shared" si="0"/>
        <v>741.72</v>
      </c>
    </row>
    <row r="19" spans="1:20" ht="24" customHeight="1" x14ac:dyDescent="0.2">
      <c r="A19" s="15">
        <v>45097</v>
      </c>
      <c r="B19" s="18">
        <f>19.08+19.23+20.52</f>
        <v>58.83</v>
      </c>
      <c r="C19" s="18">
        <f>12.24+12.34+14.16</f>
        <v>38.739999999999995</v>
      </c>
      <c r="D19" s="18"/>
      <c r="E19" s="18"/>
      <c r="F19" s="18"/>
      <c r="G19" s="18"/>
      <c r="H19" s="18"/>
      <c r="I19" s="18"/>
      <c r="J19" s="18">
        <f>0.62+0.62+0.62</f>
        <v>1.8599999999999999</v>
      </c>
      <c r="K19" s="18"/>
      <c r="L19" s="18"/>
      <c r="M19" s="18"/>
      <c r="N19" s="18"/>
      <c r="O19" s="17"/>
      <c r="P19" s="17"/>
      <c r="Q19" s="17"/>
      <c r="R19" s="5">
        <f t="shared" si="0"/>
        <v>99.429999999999993</v>
      </c>
    </row>
    <row r="20" spans="1:20" ht="24" customHeight="1" x14ac:dyDescent="0.2">
      <c r="A20" s="15">
        <v>45098</v>
      </c>
      <c r="B20" s="18">
        <f>32.82</f>
        <v>32.82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  <c r="P20" s="17"/>
      <c r="Q20" s="17"/>
      <c r="R20" s="5">
        <f t="shared" si="0"/>
        <v>32.82</v>
      </c>
    </row>
    <row r="21" spans="1:20" ht="24" customHeight="1" x14ac:dyDescent="0.2">
      <c r="A21" s="15">
        <v>45099</v>
      </c>
      <c r="B21" s="18">
        <f>41.03</f>
        <v>41.03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>
        <f>38</f>
        <v>38</v>
      </c>
      <c r="N21" s="18"/>
      <c r="O21" s="17"/>
      <c r="P21" s="17"/>
      <c r="Q21" s="17"/>
      <c r="R21" s="5">
        <f t="shared" si="0"/>
        <v>79.03</v>
      </c>
    </row>
    <row r="22" spans="1:20" ht="24" customHeight="1" x14ac:dyDescent="0.2">
      <c r="A22" s="15">
        <v>45100</v>
      </c>
      <c r="B22" s="18">
        <f>149.36</f>
        <v>149.36000000000001</v>
      </c>
      <c r="C22" s="18">
        <f>70.22+79.17+89.72+85.39+85.8+89.36+87.72+89.26</f>
        <v>676.64</v>
      </c>
      <c r="D22" s="18"/>
      <c r="E22" s="18"/>
      <c r="F22" s="18"/>
      <c r="G22" s="18"/>
      <c r="H22" s="18"/>
      <c r="I22" s="18"/>
      <c r="J22" s="18">
        <f>0.62</f>
        <v>0.62</v>
      </c>
      <c r="K22" s="18"/>
      <c r="L22" s="18"/>
      <c r="M22" s="18">
        <f>38</f>
        <v>38</v>
      </c>
      <c r="N22" s="18"/>
      <c r="O22" s="17"/>
      <c r="P22" s="17"/>
      <c r="Q22" s="17"/>
      <c r="R22" s="5">
        <f t="shared" si="0"/>
        <v>864.62</v>
      </c>
    </row>
    <row r="23" spans="1:20" ht="24" customHeight="1" x14ac:dyDescent="0.2">
      <c r="A23" s="15">
        <v>45103</v>
      </c>
      <c r="B23" s="18">
        <f>54.71</f>
        <v>54.71</v>
      </c>
      <c r="C23" s="18"/>
      <c r="D23" s="18">
        <f>204.25</f>
        <v>204.25</v>
      </c>
      <c r="E23" s="18"/>
      <c r="F23" s="18"/>
      <c r="G23" s="18">
        <f>61.75</f>
        <v>61.75</v>
      </c>
      <c r="H23" s="18"/>
      <c r="I23" s="18"/>
      <c r="J23" s="18">
        <f>0.62</f>
        <v>0.62</v>
      </c>
      <c r="K23" s="18"/>
      <c r="L23" s="18"/>
      <c r="M23" s="18"/>
      <c r="N23" s="18"/>
      <c r="O23" s="17"/>
      <c r="P23" s="17"/>
      <c r="Q23" s="17"/>
      <c r="R23" s="5">
        <f t="shared" si="0"/>
        <v>321.33</v>
      </c>
    </row>
    <row r="24" spans="1:20" ht="24" customHeight="1" x14ac:dyDescent="0.2">
      <c r="A24" s="15">
        <v>45105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>
        <f>38</f>
        <v>38</v>
      </c>
      <c r="N24" s="18"/>
      <c r="O24" s="17"/>
      <c r="P24" s="17"/>
      <c r="Q24" s="17"/>
      <c r="R24" s="5">
        <f t="shared" si="0"/>
        <v>38</v>
      </c>
    </row>
    <row r="25" spans="1:20" ht="24" customHeight="1" x14ac:dyDescent="0.2">
      <c r="A25" s="15">
        <v>45106</v>
      </c>
      <c r="B25" s="18"/>
      <c r="C25" s="18"/>
      <c r="D25" s="18"/>
      <c r="E25" s="18">
        <f>20.67+17.75</f>
        <v>38.42</v>
      </c>
      <c r="F25" s="18"/>
      <c r="G25" s="18"/>
      <c r="H25" s="18"/>
      <c r="I25" s="18"/>
      <c r="J25" s="18">
        <f>0.62</f>
        <v>0.62</v>
      </c>
      <c r="K25" s="18"/>
      <c r="L25" s="18"/>
      <c r="M25" s="18">
        <f>38</f>
        <v>38</v>
      </c>
      <c r="N25" s="18"/>
      <c r="O25" s="17"/>
      <c r="P25" s="17"/>
      <c r="Q25" s="17"/>
      <c r="R25" s="5">
        <f t="shared" si="0"/>
        <v>77.039999999999992</v>
      </c>
    </row>
    <row r="26" spans="1:20" ht="24" customHeight="1" x14ac:dyDescent="0.2">
      <c r="A26" s="29" t="s">
        <v>2</v>
      </c>
      <c r="B26" s="38">
        <f t="shared" ref="B26:R26" si="1">SUM(B12:B25)</f>
        <v>1485.62</v>
      </c>
      <c r="C26" s="38">
        <f t="shared" si="1"/>
        <v>1229.72</v>
      </c>
      <c r="D26" s="38">
        <f t="shared" si="1"/>
        <v>2239.65</v>
      </c>
      <c r="E26" s="38">
        <f t="shared" si="1"/>
        <v>400.54</v>
      </c>
      <c r="F26" s="38">
        <f t="shared" si="1"/>
        <v>0</v>
      </c>
      <c r="G26" s="38">
        <f t="shared" si="1"/>
        <v>123.5</v>
      </c>
      <c r="H26" s="38">
        <f t="shared" si="1"/>
        <v>0</v>
      </c>
      <c r="I26" s="38">
        <f t="shared" si="1"/>
        <v>4.55</v>
      </c>
      <c r="J26" s="38">
        <f t="shared" si="1"/>
        <v>11.779999999999998</v>
      </c>
      <c r="K26" s="38">
        <f t="shared" si="1"/>
        <v>53.5</v>
      </c>
      <c r="L26" s="38">
        <f t="shared" si="1"/>
        <v>20.75</v>
      </c>
      <c r="M26" s="38">
        <f t="shared" si="1"/>
        <v>221.5</v>
      </c>
      <c r="N26" s="38">
        <f t="shared" si="1"/>
        <v>0</v>
      </c>
      <c r="O26" s="44">
        <f t="shared" si="1"/>
        <v>0</v>
      </c>
      <c r="P26" s="44">
        <f t="shared" si="1"/>
        <v>0</v>
      </c>
      <c r="Q26" s="44">
        <f t="shared" si="1"/>
        <v>0</v>
      </c>
      <c r="R26" s="45">
        <f t="shared" si="1"/>
        <v>5791.11</v>
      </c>
      <c r="T26" s="28"/>
    </row>
    <row r="27" spans="1:20" ht="12" customHeight="1" x14ac:dyDescent="0.2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59" t="s">
        <v>37</v>
      </c>
      <c r="O27" s="59"/>
      <c r="P27" s="59"/>
      <c r="Q27" s="59"/>
      <c r="R27" s="59"/>
    </row>
    <row r="28" spans="1:20" ht="24" customHeight="1" x14ac:dyDescent="0.2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</row>
    <row r="29" spans="1:20" ht="24" customHeight="1" x14ac:dyDescent="0.2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</row>
    <row r="30" spans="1:20" ht="11.25" x14ac:dyDescent="0.2"/>
    <row r="31" spans="1:20" ht="11.25" x14ac:dyDescent="0.2"/>
    <row r="32" spans="1:20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</sheetData>
  <mergeCells count="20">
    <mergeCell ref="A7:B7"/>
    <mergeCell ref="F9:F11"/>
    <mergeCell ref="G9:G11"/>
    <mergeCell ref="H9:H11"/>
    <mergeCell ref="I9:I11"/>
    <mergeCell ref="J9:J11"/>
    <mergeCell ref="A9:A11"/>
    <mergeCell ref="B9:B11"/>
    <mergeCell ref="C9:C11"/>
    <mergeCell ref="D9:D11"/>
    <mergeCell ref="E9:E11"/>
    <mergeCell ref="N27:R27"/>
    <mergeCell ref="K9:K11"/>
    <mergeCell ref="L9:L11"/>
    <mergeCell ref="N9:N11"/>
    <mergeCell ref="O9:O11"/>
    <mergeCell ref="P9:P11"/>
    <mergeCell ref="Q9:Q11"/>
    <mergeCell ref="R9:R11"/>
    <mergeCell ref="M9:M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90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46"/>
  <sheetViews>
    <sheetView topLeftCell="A4" zoomScaleNormal="100" workbookViewId="0">
      <pane xSplit="1" ySplit="8" topLeftCell="B26" activePane="bottomRight" state="frozen"/>
      <selection activeCell="A4" sqref="A4"/>
      <selection pane="topRight" activeCell="B4" sqref="B4"/>
      <selection pane="bottomLeft" activeCell="A22" sqref="A22"/>
      <selection pane="bottomRight" activeCell="E41" sqref="E41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5" spans="1:15" ht="12.75" x14ac:dyDescent="0.2">
      <c r="A5" s="42" t="s">
        <v>33</v>
      </c>
    </row>
    <row r="7" spans="1:15" ht="12" x14ac:dyDescent="0.2">
      <c r="A7" s="57">
        <v>45139</v>
      </c>
      <c r="B7" s="57"/>
      <c r="D7" s="14"/>
      <c r="E7" s="14"/>
      <c r="F7" s="14"/>
      <c r="G7" s="14"/>
      <c r="H7" s="14"/>
    </row>
    <row r="9" spans="1:15" ht="15" customHeight="1" x14ac:dyDescent="0.2">
      <c r="A9" s="58"/>
      <c r="B9" s="56" t="s">
        <v>28</v>
      </c>
      <c r="C9" s="56" t="s">
        <v>16</v>
      </c>
      <c r="D9" s="56" t="s">
        <v>29</v>
      </c>
      <c r="E9" s="56" t="s">
        <v>17</v>
      </c>
      <c r="F9" s="56" t="s">
        <v>18</v>
      </c>
      <c r="G9" s="56" t="s">
        <v>19</v>
      </c>
      <c r="H9" s="56" t="s">
        <v>20</v>
      </c>
      <c r="I9" s="56" t="s">
        <v>21</v>
      </c>
      <c r="J9" s="56" t="s">
        <v>22</v>
      </c>
      <c r="K9" s="56" t="s">
        <v>23</v>
      </c>
      <c r="L9" s="53" t="s">
        <v>25</v>
      </c>
      <c r="M9" s="53" t="s">
        <v>26</v>
      </c>
      <c r="N9" s="53" t="s">
        <v>27</v>
      </c>
      <c r="O9" s="54" t="s">
        <v>1</v>
      </c>
    </row>
    <row r="10" spans="1:15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3"/>
      <c r="M10" s="53"/>
      <c r="N10" s="53"/>
      <c r="O10" s="54"/>
    </row>
    <row r="11" spans="1:15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3"/>
      <c r="M11" s="53"/>
      <c r="N11" s="53"/>
      <c r="O11" s="54"/>
    </row>
    <row r="12" spans="1:15" ht="23.25" customHeight="1" x14ac:dyDescent="0.2">
      <c r="A12" s="15">
        <v>45139</v>
      </c>
      <c r="B12" s="16">
        <f>38.01+51.03</f>
        <v>89.039999999999992</v>
      </c>
      <c r="C12" s="16">
        <f>18.93+28.9+13.95+10.97+18.06</f>
        <v>90.81</v>
      </c>
      <c r="D12" s="16">
        <v>469.26</v>
      </c>
      <c r="E12" s="16"/>
      <c r="F12" s="16"/>
      <c r="G12" s="16"/>
      <c r="H12" s="16"/>
      <c r="I12" s="16"/>
      <c r="J12" s="16">
        <f>0.62+0.62+0.62</f>
        <v>1.8599999999999999</v>
      </c>
      <c r="K12" s="16">
        <f>38+38</f>
        <v>76</v>
      </c>
      <c r="L12" s="17"/>
      <c r="M12" s="17"/>
      <c r="N12" s="17"/>
      <c r="O12" s="5">
        <f t="shared" ref="O12:O42" si="0">SUM(B12:K12)</f>
        <v>726.97</v>
      </c>
    </row>
    <row r="13" spans="1:15" ht="24" customHeight="1" x14ac:dyDescent="0.2">
      <c r="A13" s="15">
        <v>45140</v>
      </c>
      <c r="B13" s="16">
        <f>30.44</f>
        <v>30.44</v>
      </c>
      <c r="C13" s="16"/>
      <c r="D13" s="16">
        <f>42.3</f>
        <v>42.3</v>
      </c>
      <c r="E13" s="16"/>
      <c r="F13" s="16"/>
      <c r="G13" s="16"/>
      <c r="H13" s="16"/>
      <c r="I13" s="16"/>
      <c r="J13" s="16">
        <f>0.62+0.62</f>
        <v>1.24</v>
      </c>
      <c r="K13" s="16">
        <f>38</f>
        <v>38</v>
      </c>
      <c r="L13" s="17"/>
      <c r="M13" s="17"/>
      <c r="N13" s="17"/>
      <c r="O13" s="5">
        <f t="shared" si="0"/>
        <v>111.97999999999999</v>
      </c>
    </row>
    <row r="14" spans="1:15" ht="24" customHeight="1" x14ac:dyDescent="0.2">
      <c r="A14" s="15">
        <v>45141</v>
      </c>
      <c r="B14" s="18">
        <f>150.28</f>
        <v>150.28</v>
      </c>
      <c r="C14" s="16">
        <f>141.31</f>
        <v>141.31</v>
      </c>
      <c r="D14" s="16"/>
      <c r="E14" s="16"/>
      <c r="F14" s="16"/>
      <c r="G14" s="16"/>
      <c r="H14" s="16"/>
      <c r="I14" s="16">
        <f>6.93</f>
        <v>6.93</v>
      </c>
      <c r="J14" s="16">
        <f>0.62</f>
        <v>0.62</v>
      </c>
      <c r="K14" s="16">
        <f>38</f>
        <v>38</v>
      </c>
      <c r="L14" s="17"/>
      <c r="M14" s="17"/>
      <c r="N14" s="17"/>
      <c r="O14" s="5">
        <f t="shared" si="0"/>
        <v>337.14000000000004</v>
      </c>
    </row>
    <row r="15" spans="1:15" ht="24" customHeight="1" x14ac:dyDescent="0.2">
      <c r="A15" s="15">
        <v>45142</v>
      </c>
      <c r="B15" s="18">
        <f>16.8</f>
        <v>16.8</v>
      </c>
      <c r="C15" s="16">
        <f>5.58+15.6+13.9+11.56+16.44</f>
        <v>63.08</v>
      </c>
      <c r="D15" s="16"/>
      <c r="E15" s="16"/>
      <c r="F15" s="16"/>
      <c r="G15" s="16"/>
      <c r="H15" s="16"/>
      <c r="I15" s="16"/>
      <c r="J15" s="16">
        <f>0.62</f>
        <v>0.62</v>
      </c>
      <c r="K15" s="16"/>
      <c r="L15" s="17"/>
      <c r="M15" s="17"/>
      <c r="N15" s="17"/>
      <c r="O15" s="5">
        <f t="shared" si="0"/>
        <v>80.5</v>
      </c>
    </row>
    <row r="16" spans="1:15" ht="24" customHeight="1" x14ac:dyDescent="0.2">
      <c r="A16" s="15">
        <v>45143</v>
      </c>
      <c r="B16" s="18"/>
      <c r="C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>
        <f t="shared" si="0"/>
        <v>0</v>
      </c>
    </row>
    <row r="17" spans="1:15" ht="24" customHeight="1" x14ac:dyDescent="0.2">
      <c r="A17" s="15">
        <v>45144</v>
      </c>
      <c r="B17" s="18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>
        <f t="shared" si="0"/>
        <v>0</v>
      </c>
    </row>
    <row r="18" spans="1:15" ht="24" customHeight="1" x14ac:dyDescent="0.2">
      <c r="A18" s="15">
        <v>45145</v>
      </c>
      <c r="B18" s="18">
        <f>33.61+168.04+12.84</f>
        <v>214.48999999999998</v>
      </c>
      <c r="C18" s="16">
        <f>21.92+12.34</f>
        <v>34.260000000000005</v>
      </c>
      <c r="D18" s="16">
        <f>46.93</f>
        <v>46.93</v>
      </c>
      <c r="E18" s="16">
        <f>48.4</f>
        <v>48.4</v>
      </c>
      <c r="F18" s="16">
        <f>20.5</f>
        <v>20.5</v>
      </c>
      <c r="G18" s="16"/>
      <c r="H18" s="16"/>
      <c r="I18" s="16"/>
      <c r="J18" s="16">
        <f>0.62+0.62</f>
        <v>1.24</v>
      </c>
      <c r="K18" s="16"/>
      <c r="L18" s="17"/>
      <c r="M18" s="17"/>
      <c r="N18" s="17"/>
      <c r="O18" s="5">
        <f t="shared" si="0"/>
        <v>365.82</v>
      </c>
    </row>
    <row r="19" spans="1:15" ht="24" customHeight="1" x14ac:dyDescent="0.2">
      <c r="A19" s="15">
        <v>45146</v>
      </c>
      <c r="B19" s="18"/>
      <c r="C19" s="16"/>
      <c r="D19" s="16"/>
      <c r="E19" s="16"/>
      <c r="F19" s="16"/>
      <c r="G19" s="16"/>
      <c r="H19" s="16"/>
      <c r="I19" s="16"/>
      <c r="J19" s="16"/>
      <c r="K19" s="16">
        <f>38+38</f>
        <v>76</v>
      </c>
      <c r="L19" s="17"/>
      <c r="M19" s="17"/>
      <c r="N19" s="17"/>
      <c r="O19" s="5">
        <f t="shared" si="0"/>
        <v>76</v>
      </c>
    </row>
    <row r="20" spans="1:15" ht="24" customHeight="1" x14ac:dyDescent="0.2">
      <c r="A20" s="15">
        <v>45147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7"/>
      <c r="M20" s="17"/>
      <c r="N20" s="17"/>
      <c r="O20" s="5">
        <f t="shared" si="0"/>
        <v>0</v>
      </c>
    </row>
    <row r="21" spans="1:15" ht="24" customHeight="1" x14ac:dyDescent="0.2">
      <c r="A21" s="15">
        <v>45148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7"/>
      <c r="M21" s="17"/>
      <c r="N21" s="17"/>
      <c r="O21" s="5">
        <f t="shared" si="0"/>
        <v>0</v>
      </c>
    </row>
    <row r="22" spans="1:15" ht="24" customHeight="1" x14ac:dyDescent="0.2">
      <c r="A22" s="15">
        <v>45149</v>
      </c>
      <c r="B22" s="18">
        <f>30.62+168.04</f>
        <v>198.66</v>
      </c>
      <c r="C22" s="18"/>
      <c r="D22" s="18"/>
      <c r="E22" s="18"/>
      <c r="F22" s="18"/>
      <c r="G22" s="18"/>
      <c r="H22" s="18"/>
      <c r="I22" s="18"/>
      <c r="J22" s="18">
        <f>0.62</f>
        <v>0.62</v>
      </c>
      <c r="K22" s="18">
        <f>38</f>
        <v>38</v>
      </c>
      <c r="L22" s="17"/>
      <c r="M22" s="17"/>
      <c r="N22" s="17"/>
      <c r="O22" s="5">
        <f t="shared" si="0"/>
        <v>237.28</v>
      </c>
    </row>
    <row r="23" spans="1:15" ht="24" customHeight="1" x14ac:dyDescent="0.2">
      <c r="A23" s="15">
        <v>45150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7"/>
      <c r="M23" s="17"/>
      <c r="N23" s="17"/>
      <c r="O23" s="5">
        <f t="shared" si="0"/>
        <v>0</v>
      </c>
    </row>
    <row r="24" spans="1:15" ht="24" customHeight="1" x14ac:dyDescent="0.2">
      <c r="A24" s="15">
        <v>45151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7"/>
      <c r="M24" s="17"/>
      <c r="N24" s="17"/>
      <c r="O24" s="5">
        <f t="shared" si="0"/>
        <v>0</v>
      </c>
    </row>
    <row r="25" spans="1:15" ht="24" customHeight="1" x14ac:dyDescent="0.2">
      <c r="A25" s="15">
        <v>45152</v>
      </c>
      <c r="B25" s="18"/>
      <c r="C25" s="18">
        <f>46.8</f>
        <v>46.8</v>
      </c>
      <c r="D25" s="18"/>
      <c r="E25" s="18"/>
      <c r="F25" s="18"/>
      <c r="G25" s="18"/>
      <c r="H25" s="18"/>
      <c r="I25" s="18"/>
      <c r="J25" s="18">
        <f>0.62</f>
        <v>0.62</v>
      </c>
      <c r="K25" s="18">
        <f>38</f>
        <v>38</v>
      </c>
      <c r="L25" s="17"/>
      <c r="M25" s="17"/>
      <c r="N25" s="17"/>
      <c r="O25" s="5">
        <f t="shared" si="0"/>
        <v>85.419999999999987</v>
      </c>
    </row>
    <row r="26" spans="1:15" ht="24" customHeight="1" x14ac:dyDescent="0.2">
      <c r="A26" s="15">
        <v>45153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7"/>
      <c r="M26" s="17"/>
      <c r="N26" s="17"/>
      <c r="O26" s="5">
        <f t="shared" si="0"/>
        <v>0</v>
      </c>
    </row>
    <row r="27" spans="1:15" ht="24" customHeight="1" x14ac:dyDescent="0.2">
      <c r="A27" s="15">
        <v>45154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7"/>
      <c r="M27" s="17"/>
      <c r="N27" s="17"/>
      <c r="O27" s="5">
        <f t="shared" si="0"/>
        <v>0</v>
      </c>
    </row>
    <row r="28" spans="1:15" ht="24" customHeight="1" x14ac:dyDescent="0.2">
      <c r="A28" s="15">
        <v>45155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7"/>
      <c r="M28" s="17"/>
      <c r="N28" s="17"/>
      <c r="O28" s="5">
        <f t="shared" si="0"/>
        <v>0</v>
      </c>
    </row>
    <row r="29" spans="1:15" ht="24" customHeight="1" x14ac:dyDescent="0.2">
      <c r="A29" s="15">
        <v>45156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7"/>
      <c r="M29" s="17"/>
      <c r="N29" s="17"/>
      <c r="O29" s="5">
        <f t="shared" si="0"/>
        <v>0</v>
      </c>
    </row>
    <row r="30" spans="1:15" ht="24" customHeight="1" x14ac:dyDescent="0.2">
      <c r="A30" s="15">
        <v>45157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7"/>
      <c r="M30" s="17"/>
      <c r="N30" s="17"/>
      <c r="O30" s="5">
        <f t="shared" si="0"/>
        <v>0</v>
      </c>
    </row>
    <row r="31" spans="1:15" ht="24" customHeight="1" x14ac:dyDescent="0.2">
      <c r="A31" s="15">
        <v>45158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7"/>
      <c r="M31" s="17"/>
      <c r="N31" s="17"/>
      <c r="O31" s="5">
        <f t="shared" si="0"/>
        <v>0</v>
      </c>
    </row>
    <row r="32" spans="1:15" ht="24" customHeight="1" x14ac:dyDescent="0.2">
      <c r="A32" s="15">
        <v>45159</v>
      </c>
      <c r="B32" s="18">
        <f>12.92</f>
        <v>12.92</v>
      </c>
      <c r="C32" s="18">
        <f>12.36</f>
        <v>12.36</v>
      </c>
      <c r="D32" s="18"/>
      <c r="E32" s="18"/>
      <c r="F32" s="18"/>
      <c r="G32" s="18"/>
      <c r="H32" s="18"/>
      <c r="I32" s="18">
        <f>0.58</f>
        <v>0.57999999999999996</v>
      </c>
      <c r="J32" s="18">
        <f>0.62</f>
        <v>0.62</v>
      </c>
      <c r="K32" s="18"/>
      <c r="L32" s="17"/>
      <c r="M32" s="17"/>
      <c r="N32" s="17"/>
      <c r="O32" s="5">
        <f t="shared" si="0"/>
        <v>26.48</v>
      </c>
    </row>
    <row r="33" spans="1:15" ht="24" customHeight="1" x14ac:dyDescent="0.2">
      <c r="A33" s="15">
        <v>45160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45161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7"/>
      <c r="M34" s="17"/>
      <c r="N34" s="17"/>
      <c r="O34" s="5">
        <f t="shared" si="0"/>
        <v>0</v>
      </c>
    </row>
    <row r="35" spans="1:15" ht="24" customHeight="1" x14ac:dyDescent="0.2">
      <c r="A35" s="15">
        <v>45162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7"/>
      <c r="M35" s="17"/>
      <c r="N35" s="17"/>
      <c r="O35" s="5">
        <f t="shared" si="0"/>
        <v>0</v>
      </c>
    </row>
    <row r="36" spans="1:15" ht="24" customHeight="1" x14ac:dyDescent="0.2">
      <c r="A36" s="15">
        <v>45163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7"/>
      <c r="M36" s="17"/>
      <c r="N36" s="17"/>
      <c r="O36" s="5">
        <f t="shared" si="0"/>
        <v>0</v>
      </c>
    </row>
    <row r="37" spans="1:15" ht="24" customHeight="1" x14ac:dyDescent="0.2">
      <c r="A37" s="15">
        <v>45164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7"/>
      <c r="M37" s="17"/>
      <c r="N37" s="17"/>
      <c r="O37" s="5">
        <f t="shared" si="0"/>
        <v>0</v>
      </c>
    </row>
    <row r="38" spans="1:15" ht="24" customHeight="1" x14ac:dyDescent="0.2">
      <c r="A38" s="15">
        <v>45165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7"/>
      <c r="M38" s="17"/>
      <c r="N38" s="17"/>
      <c r="O38" s="5">
        <f t="shared" si="0"/>
        <v>0</v>
      </c>
    </row>
    <row r="39" spans="1:15" ht="24" customHeight="1" x14ac:dyDescent="0.2">
      <c r="A39" s="15">
        <v>45166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7"/>
      <c r="M39" s="17"/>
      <c r="N39" s="17"/>
      <c r="O39" s="5">
        <f t="shared" si="0"/>
        <v>0</v>
      </c>
    </row>
    <row r="40" spans="1:15" ht="24" customHeight="1" x14ac:dyDescent="0.2">
      <c r="A40" s="15">
        <v>45167</v>
      </c>
      <c r="B40" s="18"/>
      <c r="C40" s="18"/>
      <c r="D40" s="18">
        <f>18.49</f>
        <v>18.489999999999998</v>
      </c>
      <c r="E40" s="18">
        <f>21.02+18.08+13.14+25.6+23.98+23.1+21.02+18.08</f>
        <v>164.02000000000004</v>
      </c>
      <c r="F40" s="18"/>
      <c r="G40" s="18"/>
      <c r="H40" s="18"/>
      <c r="I40" s="18"/>
      <c r="J40" s="18">
        <f>0.62+0.62</f>
        <v>1.24</v>
      </c>
      <c r="K40" s="18">
        <f>38</f>
        <v>38</v>
      </c>
      <c r="L40" s="17"/>
      <c r="M40" s="17"/>
      <c r="N40" s="17"/>
      <c r="O40" s="5">
        <f t="shared" si="0"/>
        <v>221.75000000000006</v>
      </c>
    </row>
    <row r="41" spans="1:15" ht="24" customHeight="1" x14ac:dyDescent="0.2">
      <c r="A41" s="15">
        <v>45168</v>
      </c>
      <c r="B41" s="18"/>
      <c r="C41" s="18"/>
      <c r="D41" s="18"/>
      <c r="E41" s="18"/>
      <c r="F41" s="18"/>
      <c r="G41" s="18"/>
      <c r="H41" s="18"/>
      <c r="I41" s="18"/>
      <c r="J41" s="18"/>
      <c r="K41" s="18">
        <f>38</f>
        <v>38</v>
      </c>
      <c r="L41" s="17"/>
      <c r="M41" s="17"/>
      <c r="N41" s="17"/>
      <c r="O41" s="5">
        <f t="shared" si="0"/>
        <v>38</v>
      </c>
    </row>
    <row r="42" spans="1:15" ht="24" customHeight="1" x14ac:dyDescent="0.2">
      <c r="A42" s="15">
        <v>45169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7"/>
      <c r="M42" s="17"/>
      <c r="N42" s="17"/>
      <c r="O42" s="5">
        <f t="shared" si="0"/>
        <v>0</v>
      </c>
    </row>
    <row r="43" spans="1:15" ht="24" customHeight="1" x14ac:dyDescent="0.2">
      <c r="A43" s="29" t="s">
        <v>2</v>
      </c>
      <c r="B43" s="46">
        <f>SUM(B12:B42)</f>
        <v>712.62999999999988</v>
      </c>
      <c r="C43" s="46">
        <f t="shared" ref="C43:N43" si="1">SUM(C12:C42)</f>
        <v>388.62</v>
      </c>
      <c r="D43" s="46">
        <f t="shared" si="1"/>
        <v>576.98</v>
      </c>
      <c r="E43" s="46">
        <f t="shared" si="1"/>
        <v>212.42000000000004</v>
      </c>
      <c r="F43" s="46">
        <f t="shared" si="1"/>
        <v>20.5</v>
      </c>
      <c r="G43" s="46">
        <f t="shared" si="1"/>
        <v>0</v>
      </c>
      <c r="H43" s="46">
        <f t="shared" si="1"/>
        <v>0</v>
      </c>
      <c r="I43" s="46">
        <f t="shared" si="1"/>
        <v>7.51</v>
      </c>
      <c r="J43" s="46">
        <f t="shared" si="1"/>
        <v>8.68</v>
      </c>
      <c r="K43" s="46">
        <f t="shared" si="1"/>
        <v>380</v>
      </c>
      <c r="L43" s="46">
        <f t="shared" si="1"/>
        <v>0</v>
      </c>
      <c r="M43" s="46">
        <f t="shared" si="1"/>
        <v>0</v>
      </c>
      <c r="N43" s="46">
        <f t="shared" si="1"/>
        <v>0</v>
      </c>
      <c r="O43" s="47">
        <f>SUM(O12:O42)</f>
        <v>2307.34</v>
      </c>
    </row>
    <row r="44" spans="1:15" ht="12" customHeight="1" x14ac:dyDescent="0.2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55"/>
      <c r="M44" s="55"/>
      <c r="N44" s="55"/>
      <c r="O44" s="55"/>
    </row>
    <row r="45" spans="1:15" ht="24" customHeight="1" x14ac:dyDescent="0.2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/>
    </row>
    <row r="46" spans="1:15" ht="24" customHeight="1" x14ac:dyDescent="0.2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6"/>
    </row>
  </sheetData>
  <mergeCells count="17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N9:N11"/>
    <mergeCell ref="O9:O11"/>
    <mergeCell ref="L44:O44"/>
    <mergeCell ref="J9:J11"/>
    <mergeCell ref="K9:K11"/>
    <mergeCell ref="L9:L11"/>
    <mergeCell ref="M9:M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6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B12" sqref="B12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1" width="8.7109375" style="2" customWidth="1"/>
    <col min="12" max="12" width="7.5703125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2" t="s">
        <v>33</v>
      </c>
    </row>
    <row r="7" spans="1:16" ht="12" x14ac:dyDescent="0.2">
      <c r="A7" s="57">
        <v>45200</v>
      </c>
      <c r="B7" s="57"/>
      <c r="D7" s="14"/>
      <c r="E7" s="14"/>
      <c r="F7" s="14"/>
      <c r="G7" s="14"/>
      <c r="H7" s="14"/>
    </row>
    <row r="9" spans="1:16" ht="15" customHeight="1" x14ac:dyDescent="0.2">
      <c r="A9" s="58"/>
      <c r="B9" s="56" t="s">
        <v>28</v>
      </c>
      <c r="C9" s="56" t="s">
        <v>16</v>
      </c>
      <c r="D9" s="56" t="s">
        <v>29</v>
      </c>
      <c r="E9" s="56" t="s">
        <v>17</v>
      </c>
      <c r="F9" s="56" t="s">
        <v>18</v>
      </c>
      <c r="G9" s="56" t="s">
        <v>19</v>
      </c>
      <c r="H9" s="56" t="s">
        <v>20</v>
      </c>
      <c r="I9" s="56" t="s">
        <v>21</v>
      </c>
      <c r="J9" s="56" t="s">
        <v>22</v>
      </c>
      <c r="K9" s="58" t="s">
        <v>39</v>
      </c>
      <c r="L9" s="56" t="s">
        <v>23</v>
      </c>
      <c r="M9" s="53" t="s">
        <v>25</v>
      </c>
      <c r="N9" s="53" t="s">
        <v>26</v>
      </c>
      <c r="O9" s="53" t="s">
        <v>27</v>
      </c>
      <c r="P9" s="54" t="s">
        <v>1</v>
      </c>
    </row>
    <row r="10" spans="1:16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61"/>
      <c r="L10" s="56"/>
      <c r="M10" s="53"/>
      <c r="N10" s="53"/>
      <c r="O10" s="53"/>
      <c r="P10" s="54"/>
    </row>
    <row r="11" spans="1:16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62"/>
      <c r="L11" s="56"/>
      <c r="M11" s="53"/>
      <c r="N11" s="53"/>
      <c r="O11" s="53"/>
      <c r="P11" s="54"/>
    </row>
    <row r="12" spans="1:16" ht="23.25" customHeight="1" x14ac:dyDescent="0.2">
      <c r="A12" s="15">
        <v>44470</v>
      </c>
      <c r="B12" s="16">
        <f>38.28+6.62</f>
        <v>44.9</v>
      </c>
      <c r="C12" s="16">
        <f>6.51+6.64</f>
        <v>13.149999999999999</v>
      </c>
      <c r="D12" s="16">
        <f>16.41</f>
        <v>16.41</v>
      </c>
      <c r="E12" s="16">
        <f>20.94+18.69+16.96</f>
        <v>56.59</v>
      </c>
      <c r="F12" s="16">
        <f>20.5</f>
        <v>20.5</v>
      </c>
      <c r="G12" s="16"/>
      <c r="H12" s="16"/>
      <c r="I12" s="16"/>
      <c r="J12" s="16">
        <f>0.62+0.62+0.62</f>
        <v>1.8599999999999999</v>
      </c>
      <c r="K12" s="16"/>
      <c r="L12" s="16">
        <f>38</f>
        <v>38</v>
      </c>
      <c r="M12" s="17"/>
      <c r="N12" s="17"/>
      <c r="O12" s="17"/>
      <c r="P12" s="5">
        <f>SUM(B12:L12)</f>
        <v>191.41000000000003</v>
      </c>
    </row>
    <row r="13" spans="1:16" ht="24" customHeight="1" x14ac:dyDescent="0.2">
      <c r="A13" s="15">
        <v>44471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>SUM(B13:L13)</f>
        <v>0</v>
      </c>
    </row>
    <row r="14" spans="1:16" ht="24" customHeight="1" x14ac:dyDescent="0.2">
      <c r="A14" s="15">
        <v>44472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5">
        <f t="shared" ref="P14:P29" si="0">SUM(B14:L14)</f>
        <v>0</v>
      </c>
    </row>
    <row r="15" spans="1:16" ht="24" customHeight="1" x14ac:dyDescent="0.2">
      <c r="A15" s="15">
        <v>44473</v>
      </c>
      <c r="B15" s="16">
        <f>33.97+33.97</f>
        <v>67.94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7"/>
      <c r="O15" s="17"/>
      <c r="P15" s="5">
        <f t="shared" si="0"/>
        <v>67.94</v>
      </c>
    </row>
    <row r="16" spans="1:16" ht="24" customHeight="1" x14ac:dyDescent="0.2">
      <c r="A16" s="15">
        <v>44474</v>
      </c>
      <c r="B16" s="16">
        <f>50.9+73.5</f>
        <v>124.4</v>
      </c>
      <c r="C16" s="16"/>
      <c r="D16" s="16"/>
      <c r="E16" s="16"/>
      <c r="F16" s="16">
        <f>20.5</f>
        <v>20.5</v>
      </c>
      <c r="G16" s="16"/>
      <c r="H16" s="16">
        <f>20.5</f>
        <v>20.5</v>
      </c>
      <c r="I16" s="16"/>
      <c r="J16" s="16">
        <f>0.62</f>
        <v>0.62</v>
      </c>
      <c r="K16" s="16"/>
      <c r="L16" s="16">
        <f>38</f>
        <v>38</v>
      </c>
      <c r="M16" s="17"/>
      <c r="N16" s="17"/>
      <c r="O16" s="17"/>
      <c r="P16" s="5">
        <f t="shared" si="0"/>
        <v>204.02</v>
      </c>
    </row>
    <row r="17" spans="1:16" ht="24" customHeight="1" x14ac:dyDescent="0.2">
      <c r="A17" s="15">
        <v>44475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44476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44477</v>
      </c>
      <c r="B19" s="16">
        <f>30.83</f>
        <v>30.83</v>
      </c>
      <c r="C19" s="16"/>
      <c r="D19" s="16">
        <f>614.88</f>
        <v>614.88</v>
      </c>
      <c r="E19" s="16"/>
      <c r="F19" s="16"/>
      <c r="G19" s="16">
        <f>61.75</f>
        <v>61.75</v>
      </c>
      <c r="H19" s="16"/>
      <c r="I19" s="16"/>
      <c r="J19" s="16">
        <f>0.62</f>
        <v>0.62</v>
      </c>
      <c r="K19" s="16"/>
      <c r="L19" s="16"/>
      <c r="M19" s="17"/>
      <c r="N19" s="17"/>
      <c r="O19" s="17"/>
      <c r="P19" s="5">
        <f t="shared" si="0"/>
        <v>708.08</v>
      </c>
    </row>
    <row r="20" spans="1:16" ht="24" customHeight="1" x14ac:dyDescent="0.2">
      <c r="A20" s="15">
        <v>44478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5">
        <v>44479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15">
        <v>44480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15">
        <v>44481</v>
      </c>
      <c r="B23" s="18">
        <f>13.02</f>
        <v>13.02</v>
      </c>
      <c r="C23" s="18">
        <f>12.46</f>
        <v>12.46</v>
      </c>
      <c r="D23" s="18"/>
      <c r="E23" s="18"/>
      <c r="F23" s="18"/>
      <c r="G23" s="18"/>
      <c r="H23" s="18"/>
      <c r="I23" s="18">
        <f>0.59</f>
        <v>0.59</v>
      </c>
      <c r="J23" s="18">
        <f>0.62</f>
        <v>0.62</v>
      </c>
      <c r="K23" s="18"/>
      <c r="L23" s="18">
        <f>38</f>
        <v>38</v>
      </c>
      <c r="M23" s="17"/>
      <c r="N23" s="17"/>
      <c r="O23" s="17"/>
      <c r="P23" s="5">
        <f t="shared" si="0"/>
        <v>64.69</v>
      </c>
    </row>
    <row r="24" spans="1:16" ht="24" customHeight="1" x14ac:dyDescent="0.2">
      <c r="A24" s="15">
        <v>44482</v>
      </c>
      <c r="B24" s="18"/>
      <c r="C24" s="18"/>
      <c r="D24" s="18">
        <f>47.43</f>
        <v>47.43</v>
      </c>
      <c r="E24" s="18">
        <f>48.86</f>
        <v>48.86</v>
      </c>
      <c r="F24" s="18"/>
      <c r="G24" s="18"/>
      <c r="H24" s="18"/>
      <c r="I24" s="18"/>
      <c r="J24" s="18">
        <f>0.62</f>
        <v>0.62</v>
      </c>
      <c r="K24" s="18"/>
      <c r="L24" s="18">
        <f>38</f>
        <v>38</v>
      </c>
      <c r="M24" s="17"/>
      <c r="N24" s="17"/>
      <c r="O24" s="17"/>
      <c r="P24" s="5">
        <f t="shared" si="0"/>
        <v>134.91</v>
      </c>
    </row>
    <row r="25" spans="1:16" ht="24" customHeight="1" x14ac:dyDescent="0.2">
      <c r="A25" s="15">
        <v>44483</v>
      </c>
      <c r="B25" s="18"/>
      <c r="C25" s="18"/>
      <c r="D25" s="18"/>
      <c r="E25" s="18"/>
      <c r="F25" s="18"/>
      <c r="G25" s="18"/>
      <c r="H25" s="18"/>
      <c r="I25" s="18"/>
      <c r="J25" s="18"/>
      <c r="K25" s="18">
        <f>20.75</f>
        <v>20.75</v>
      </c>
      <c r="L25" s="18"/>
      <c r="M25" s="17"/>
      <c r="N25" s="17"/>
      <c r="O25" s="17"/>
      <c r="P25" s="5">
        <f t="shared" si="0"/>
        <v>20.75</v>
      </c>
    </row>
    <row r="26" spans="1:16" ht="24" customHeight="1" x14ac:dyDescent="0.2">
      <c r="A26" s="15">
        <v>44484</v>
      </c>
      <c r="B26" s="18">
        <f>42.35</f>
        <v>42.35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17"/>
      <c r="O26" s="17"/>
      <c r="P26" s="5">
        <f t="shared" si="0"/>
        <v>42.35</v>
      </c>
    </row>
    <row r="27" spans="1:16" ht="24" customHeight="1" x14ac:dyDescent="0.2">
      <c r="A27" s="15">
        <v>44485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0</v>
      </c>
    </row>
    <row r="28" spans="1:16" ht="24" customHeight="1" x14ac:dyDescent="0.2">
      <c r="A28" s="15">
        <v>44486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0</v>
      </c>
    </row>
    <row r="29" spans="1:16" ht="24" customHeight="1" x14ac:dyDescent="0.2">
      <c r="A29" s="15">
        <v>44487</v>
      </c>
      <c r="B29" s="18">
        <f>16.94</f>
        <v>16.940000000000001</v>
      </c>
      <c r="C29" s="18">
        <f>11.64+13.98+15.68+5.6+16.51</f>
        <v>63.41</v>
      </c>
      <c r="D29" s="18"/>
      <c r="E29" s="18"/>
      <c r="F29" s="18"/>
      <c r="G29" s="18"/>
      <c r="H29" s="18"/>
      <c r="I29" s="18"/>
      <c r="J29" s="18">
        <f>0.62</f>
        <v>0.62</v>
      </c>
      <c r="K29" s="18"/>
      <c r="L29" s="18"/>
      <c r="M29" s="17"/>
      <c r="N29" s="17"/>
      <c r="O29" s="17"/>
      <c r="P29" s="5">
        <f t="shared" si="0"/>
        <v>80.97</v>
      </c>
    </row>
    <row r="30" spans="1:16" ht="24" customHeight="1" x14ac:dyDescent="0.2">
      <c r="A30" s="15">
        <v>44488</v>
      </c>
      <c r="B30" s="18">
        <f>14.12</f>
        <v>14.12</v>
      </c>
      <c r="C30" s="18">
        <f>14.55</f>
        <v>14.55</v>
      </c>
      <c r="D30" s="18"/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ref="P30:P42" si="1">SUM(B30:L30)</f>
        <v>29.290000000000003</v>
      </c>
    </row>
    <row r="31" spans="1:16" ht="24" customHeight="1" x14ac:dyDescent="0.2">
      <c r="A31" s="15">
        <v>44489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>
        <f>38</f>
        <v>38</v>
      </c>
      <c r="M31" s="17"/>
      <c r="N31" s="17"/>
      <c r="O31" s="17"/>
      <c r="P31" s="5">
        <f t="shared" si="1"/>
        <v>38</v>
      </c>
    </row>
    <row r="32" spans="1:16" ht="24" customHeight="1" x14ac:dyDescent="0.2">
      <c r="A32" s="15">
        <v>44490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7"/>
      <c r="N32" s="17"/>
      <c r="O32" s="17"/>
      <c r="P32" s="5">
        <f t="shared" si="1"/>
        <v>0</v>
      </c>
    </row>
    <row r="33" spans="1:16" ht="24" customHeight="1" x14ac:dyDescent="0.2">
      <c r="A33" s="15">
        <v>44491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>
        <f>38</f>
        <v>38</v>
      </c>
      <c r="M33" s="17"/>
      <c r="N33" s="17"/>
      <c r="O33" s="17"/>
      <c r="P33" s="5">
        <f t="shared" si="1"/>
        <v>38</v>
      </c>
    </row>
    <row r="34" spans="1:16" ht="24" customHeight="1" x14ac:dyDescent="0.2">
      <c r="A34" s="15">
        <v>44492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7"/>
      <c r="N34" s="17"/>
      <c r="O34" s="17"/>
      <c r="P34" s="5">
        <f t="shared" si="1"/>
        <v>0</v>
      </c>
    </row>
    <row r="35" spans="1:16" ht="24" customHeight="1" x14ac:dyDescent="0.2">
      <c r="A35" s="15">
        <v>44493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7"/>
      <c r="N35" s="17"/>
      <c r="O35" s="17"/>
      <c r="P35" s="5">
        <f t="shared" si="1"/>
        <v>0</v>
      </c>
    </row>
    <row r="36" spans="1:16" ht="24" customHeight="1" x14ac:dyDescent="0.2">
      <c r="A36" s="15">
        <v>44494</v>
      </c>
      <c r="B36" s="18">
        <f>169.42</f>
        <v>169.42</v>
      </c>
      <c r="C36" s="18">
        <f>1.22+8.81+9.61+7.55+7.87+6.76+2.47</f>
        <v>44.29</v>
      </c>
      <c r="D36" s="18"/>
      <c r="E36" s="18"/>
      <c r="F36" s="18"/>
      <c r="G36" s="18"/>
      <c r="H36" s="18"/>
      <c r="I36" s="18">
        <f>2.77+1.88</f>
        <v>4.6500000000000004</v>
      </c>
      <c r="J36" s="18">
        <f>0.62</f>
        <v>0.62</v>
      </c>
      <c r="K36" s="18"/>
      <c r="L36" s="18"/>
      <c r="M36" s="17"/>
      <c r="N36" s="17"/>
      <c r="O36" s="17"/>
      <c r="P36" s="5">
        <f t="shared" si="1"/>
        <v>218.98</v>
      </c>
    </row>
    <row r="37" spans="1:16" ht="24" customHeight="1" x14ac:dyDescent="0.2">
      <c r="A37" s="15">
        <v>44495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>
        <f>38</f>
        <v>38</v>
      </c>
      <c r="M37" s="17"/>
      <c r="N37" s="17"/>
      <c r="O37" s="17"/>
      <c r="P37" s="5">
        <f t="shared" si="1"/>
        <v>38</v>
      </c>
    </row>
    <row r="38" spans="1:16" ht="24" customHeight="1" x14ac:dyDescent="0.2">
      <c r="A38" s="15">
        <v>44496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>
        <f>38</f>
        <v>38</v>
      </c>
      <c r="M38" s="17"/>
      <c r="N38" s="17"/>
      <c r="O38" s="17"/>
      <c r="P38" s="5">
        <f t="shared" si="1"/>
        <v>38</v>
      </c>
    </row>
    <row r="39" spans="1:16" ht="24" customHeight="1" x14ac:dyDescent="0.2">
      <c r="A39" s="15">
        <v>44497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7"/>
      <c r="N39" s="17"/>
      <c r="O39" s="17"/>
      <c r="P39" s="5">
        <f t="shared" si="1"/>
        <v>0</v>
      </c>
    </row>
    <row r="40" spans="1:16" ht="24" customHeight="1" x14ac:dyDescent="0.2">
      <c r="A40" s="15">
        <v>44498</v>
      </c>
      <c r="B40" s="18"/>
      <c r="C40" s="18"/>
      <c r="D40" s="18">
        <f>95.56+18.68</f>
        <v>114.24000000000001</v>
      </c>
      <c r="E40" s="18">
        <f>18.24+21.2+98.46+59.2+66.28+71.02+21.2+18.24+23.28+24.16+25.78+13.22</f>
        <v>460.28000000000009</v>
      </c>
      <c r="F40" s="18"/>
      <c r="G40" s="18"/>
      <c r="H40" s="18"/>
      <c r="I40" s="18"/>
      <c r="J40" s="18">
        <f>0.62+0.62+0.62</f>
        <v>1.8599999999999999</v>
      </c>
      <c r="K40" s="18"/>
      <c r="L40" s="18"/>
      <c r="M40" s="17"/>
      <c r="N40" s="17"/>
      <c r="O40" s="17"/>
      <c r="P40" s="5">
        <f t="shared" si="1"/>
        <v>576.38000000000011</v>
      </c>
    </row>
    <row r="41" spans="1:16" ht="24" customHeight="1" x14ac:dyDescent="0.2">
      <c r="A41" s="15">
        <v>44499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7"/>
      <c r="N41" s="17"/>
      <c r="O41" s="17"/>
      <c r="P41" s="5"/>
    </row>
    <row r="42" spans="1:16" ht="24" customHeight="1" x14ac:dyDescent="0.2">
      <c r="A42" s="15">
        <v>44500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7"/>
      <c r="N42" s="17"/>
      <c r="O42" s="17"/>
      <c r="P42" s="5">
        <f t="shared" si="1"/>
        <v>0</v>
      </c>
    </row>
    <row r="43" spans="1:16" ht="24" customHeight="1" x14ac:dyDescent="0.2">
      <c r="A43" s="29" t="s">
        <v>2</v>
      </c>
      <c r="B43" s="38">
        <f t="shared" ref="B43:P43" si="2">SUM(B12:B42)</f>
        <v>523.91999999999996</v>
      </c>
      <c r="C43" s="41">
        <f t="shared" si="2"/>
        <v>147.85999999999999</v>
      </c>
      <c r="D43" s="41">
        <f t="shared" si="2"/>
        <v>792.95999999999992</v>
      </c>
      <c r="E43" s="41">
        <f t="shared" si="2"/>
        <v>565.73000000000013</v>
      </c>
      <c r="F43" s="41">
        <f t="shared" si="2"/>
        <v>41</v>
      </c>
      <c r="G43" s="41">
        <f t="shared" si="2"/>
        <v>61.75</v>
      </c>
      <c r="H43" s="41">
        <f t="shared" si="2"/>
        <v>20.5</v>
      </c>
      <c r="I43" s="41">
        <f t="shared" si="2"/>
        <v>5.24</v>
      </c>
      <c r="J43" s="41">
        <f t="shared" si="2"/>
        <v>8.06</v>
      </c>
      <c r="K43" s="41"/>
      <c r="L43" s="41">
        <f t="shared" si="2"/>
        <v>304</v>
      </c>
      <c r="M43" s="21">
        <f t="shared" si="2"/>
        <v>0</v>
      </c>
      <c r="N43" s="21">
        <f t="shared" si="2"/>
        <v>0</v>
      </c>
      <c r="O43" s="22">
        <f t="shared" si="2"/>
        <v>0</v>
      </c>
      <c r="P43" s="35">
        <f t="shared" si="2"/>
        <v>2491.7700000000004</v>
      </c>
    </row>
    <row r="44" spans="1:16" ht="12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55"/>
      <c r="N44" s="55"/>
      <c r="O44" s="55"/>
      <c r="P44" s="55"/>
    </row>
    <row r="45" spans="1:16" ht="24" customHeight="1" x14ac:dyDescent="0.2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6"/>
    </row>
    <row r="46" spans="1:16" ht="24" customHeight="1" x14ac:dyDescent="0.2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</row>
  </sheetData>
  <mergeCells count="19">
    <mergeCell ref="A7:B7"/>
    <mergeCell ref="A9:A11"/>
    <mergeCell ref="B9:B11"/>
    <mergeCell ref="C9:C11"/>
    <mergeCell ref="D9:D11"/>
    <mergeCell ref="O9:O11"/>
    <mergeCell ref="P9:P11"/>
    <mergeCell ref="A44:L44"/>
    <mergeCell ref="M44:P44"/>
    <mergeCell ref="J9:J11"/>
    <mergeCell ref="L9:L11"/>
    <mergeCell ref="M9:M11"/>
    <mergeCell ref="N9:N11"/>
    <mergeCell ref="E9:E11"/>
    <mergeCell ref="F9:F11"/>
    <mergeCell ref="G9:G11"/>
    <mergeCell ref="H9:H11"/>
    <mergeCell ref="I9:I11"/>
    <mergeCell ref="K9:K11"/>
  </mergeCells>
  <pageMargins left="0.31527777777777799" right="0.31527777777777799" top="0.196527777777778" bottom="0.196527777777778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6"/>
  <sheetViews>
    <sheetView topLeftCell="A4" zoomScaleNormal="100" workbookViewId="0">
      <pane xSplit="1" ySplit="8" topLeftCell="B27" activePane="bottomRight" state="frozen"/>
      <selection activeCell="A4" sqref="A4"/>
      <selection pane="topRight" activeCell="B4" sqref="B4"/>
      <selection pane="bottomLeft" activeCell="A13" sqref="A13"/>
      <selection pane="bottomRight" activeCell="O29" sqref="O27:O29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2" t="s">
        <v>33</v>
      </c>
    </row>
    <row r="7" spans="1:15" ht="12" x14ac:dyDescent="0.2">
      <c r="A7" s="57">
        <v>45200</v>
      </c>
      <c r="B7" s="57"/>
      <c r="D7" s="14"/>
      <c r="E7" s="14"/>
      <c r="F7" s="14"/>
      <c r="G7" s="14"/>
      <c r="H7" s="14"/>
    </row>
    <row r="9" spans="1:15" ht="15" customHeight="1" x14ac:dyDescent="0.2">
      <c r="A9" s="58"/>
      <c r="B9" s="56" t="s">
        <v>28</v>
      </c>
      <c r="C9" s="56" t="s">
        <v>16</v>
      </c>
      <c r="D9" s="56" t="s">
        <v>29</v>
      </c>
      <c r="E9" s="56" t="s">
        <v>17</v>
      </c>
      <c r="F9" s="56" t="s">
        <v>18</v>
      </c>
      <c r="G9" s="56" t="s">
        <v>19</v>
      </c>
      <c r="H9" s="56" t="s">
        <v>20</v>
      </c>
      <c r="I9" s="56" t="s">
        <v>21</v>
      </c>
      <c r="J9" s="56" t="s">
        <v>22</v>
      </c>
      <c r="K9" s="56" t="s">
        <v>23</v>
      </c>
      <c r="L9" s="53" t="s">
        <v>25</v>
      </c>
      <c r="M9" s="53" t="s">
        <v>26</v>
      </c>
      <c r="N9" s="53" t="s">
        <v>27</v>
      </c>
      <c r="O9" s="54" t="s">
        <v>1</v>
      </c>
    </row>
    <row r="10" spans="1:15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3"/>
      <c r="M10" s="53"/>
      <c r="N10" s="53"/>
      <c r="O10" s="54"/>
    </row>
    <row r="11" spans="1:15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3"/>
      <c r="M11" s="53"/>
      <c r="N11" s="53"/>
      <c r="O11" s="54"/>
    </row>
    <row r="12" spans="1:15" ht="24" customHeight="1" x14ac:dyDescent="0.2">
      <c r="A12" s="15">
        <v>45200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5">
        <f>SUM(B12:K12)</f>
        <v>0</v>
      </c>
    </row>
    <row r="13" spans="1:15" ht="24" customHeight="1" x14ac:dyDescent="0.2">
      <c r="A13" s="15">
        <v>45201</v>
      </c>
      <c r="B13" s="16">
        <f>51.26</f>
        <v>51.26</v>
      </c>
      <c r="C13" s="16"/>
      <c r="D13" s="16"/>
      <c r="E13" s="16"/>
      <c r="F13" s="16"/>
      <c r="G13" s="16"/>
      <c r="H13" s="16"/>
      <c r="I13" s="16"/>
      <c r="J13" s="16">
        <f>0.62</f>
        <v>0.62</v>
      </c>
      <c r="K13" s="16">
        <f>38</f>
        <v>38</v>
      </c>
      <c r="L13" s="17"/>
      <c r="M13" s="17"/>
      <c r="N13" s="17"/>
      <c r="O13" s="5">
        <f>SUM(B13:K13)</f>
        <v>89.88</v>
      </c>
    </row>
    <row r="14" spans="1:15" ht="24" customHeight="1" x14ac:dyDescent="0.2">
      <c r="A14" s="15">
        <v>45202</v>
      </c>
      <c r="B14" s="16">
        <f>15.63</f>
        <v>15.63</v>
      </c>
      <c r="C14" s="16">
        <f>12.14+4.27+12.5+11.48+10.03</f>
        <v>50.42</v>
      </c>
      <c r="D14" s="16"/>
      <c r="E14" s="16"/>
      <c r="F14" s="16"/>
      <c r="G14" s="16"/>
      <c r="H14" s="16"/>
      <c r="I14" s="16"/>
      <c r="J14" s="16">
        <f>0.62</f>
        <v>0.62</v>
      </c>
      <c r="K14" s="16"/>
      <c r="L14" s="17"/>
      <c r="M14" s="17"/>
      <c r="N14" s="17"/>
      <c r="O14" s="5">
        <f>SUM(B14:K14)</f>
        <v>66.67</v>
      </c>
    </row>
    <row r="15" spans="1:15" ht="24" customHeight="1" x14ac:dyDescent="0.2">
      <c r="A15" s="15">
        <v>45203</v>
      </c>
      <c r="B15" s="16">
        <f>185.72+185.66</f>
        <v>371.38</v>
      </c>
      <c r="C15" s="16">
        <f>36.12</f>
        <v>36.119999999999997</v>
      </c>
      <c r="D15" s="16"/>
      <c r="E15" s="16"/>
      <c r="F15" s="16"/>
      <c r="G15" s="16"/>
      <c r="H15" s="16"/>
      <c r="I15" s="16"/>
      <c r="J15" s="16">
        <f>0.62</f>
        <v>0.62</v>
      </c>
      <c r="K15" s="16"/>
      <c r="L15" s="17"/>
      <c r="M15" s="17"/>
      <c r="N15" s="17"/>
      <c r="O15" s="5">
        <f>SUM(B15:K15)</f>
        <v>408.12</v>
      </c>
    </row>
    <row r="16" spans="1:15" ht="24" customHeight="1" x14ac:dyDescent="0.2">
      <c r="A16" s="15">
        <v>45204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>
        <f t="shared" ref="O16:O33" si="0">SUM(B16:K16)</f>
        <v>0</v>
      </c>
    </row>
    <row r="17" spans="1:15" ht="24" customHeight="1" x14ac:dyDescent="0.2">
      <c r="A17" s="15">
        <v>45205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>
        <f t="shared" si="0"/>
        <v>0</v>
      </c>
    </row>
    <row r="18" spans="1:15" ht="24" customHeight="1" x14ac:dyDescent="0.2">
      <c r="A18" s="15">
        <v>45206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5">
        <f t="shared" si="0"/>
        <v>0</v>
      </c>
    </row>
    <row r="19" spans="1:15" ht="24" customHeight="1" x14ac:dyDescent="0.2">
      <c r="A19" s="15">
        <v>45207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>
        <f t="shared" si="0"/>
        <v>0</v>
      </c>
    </row>
    <row r="20" spans="1:15" ht="24" customHeight="1" x14ac:dyDescent="0.2">
      <c r="A20" s="15">
        <v>45208</v>
      </c>
      <c r="B20" s="16"/>
      <c r="C20" s="16"/>
      <c r="D20" s="16">
        <f>47.99+410.5</f>
        <v>458.49</v>
      </c>
      <c r="E20" s="16">
        <f>49.36</f>
        <v>49.36</v>
      </c>
      <c r="F20" s="16"/>
      <c r="G20" s="16">
        <f>61.75</f>
        <v>61.75</v>
      </c>
      <c r="H20" s="16"/>
      <c r="I20" s="16"/>
      <c r="J20" s="16">
        <f>0.62</f>
        <v>0.62</v>
      </c>
      <c r="K20" s="16"/>
      <c r="L20" s="17"/>
      <c r="M20" s="17"/>
      <c r="N20" s="17"/>
      <c r="O20" s="5">
        <f t="shared" si="0"/>
        <v>570.22</v>
      </c>
    </row>
    <row r="21" spans="1:15" ht="24" customHeight="1" x14ac:dyDescent="0.2">
      <c r="A21" s="15">
        <v>45209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5">
        <f t="shared" si="0"/>
        <v>0</v>
      </c>
    </row>
    <row r="22" spans="1:15" ht="24" customHeight="1" x14ac:dyDescent="0.2">
      <c r="A22" s="15">
        <v>45210</v>
      </c>
      <c r="B22" s="16"/>
      <c r="C22" s="16"/>
      <c r="D22" s="16"/>
      <c r="E22" s="16"/>
      <c r="F22" s="16"/>
      <c r="G22" s="16"/>
      <c r="H22" s="16"/>
      <c r="I22" s="16"/>
      <c r="J22" s="16"/>
      <c r="K22" s="16">
        <f>38</f>
        <v>38</v>
      </c>
      <c r="L22" s="17"/>
      <c r="M22" s="17"/>
      <c r="N22" s="17"/>
      <c r="O22" s="5">
        <f t="shared" si="0"/>
        <v>38</v>
      </c>
    </row>
    <row r="23" spans="1:15" ht="24" customHeight="1" x14ac:dyDescent="0.2">
      <c r="A23" s="15">
        <v>45211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5">
        <f t="shared" si="0"/>
        <v>0</v>
      </c>
    </row>
    <row r="24" spans="1:15" ht="24" customHeight="1" x14ac:dyDescent="0.2">
      <c r="A24" s="15">
        <v>45212</v>
      </c>
      <c r="B24" s="16">
        <f>77.24</f>
        <v>77.239999999999995</v>
      </c>
      <c r="C24" s="16">
        <f>70.83</f>
        <v>70.83</v>
      </c>
      <c r="D24" s="16"/>
      <c r="E24" s="16"/>
      <c r="F24" s="16"/>
      <c r="G24" s="16"/>
      <c r="H24" s="16"/>
      <c r="I24" s="16"/>
      <c r="J24" s="16">
        <f>0.62</f>
        <v>0.62</v>
      </c>
      <c r="K24" s="16">
        <f>38</f>
        <v>38</v>
      </c>
      <c r="L24" s="17"/>
      <c r="M24" s="17"/>
      <c r="N24" s="17"/>
      <c r="O24" s="5">
        <f t="shared" si="0"/>
        <v>186.69</v>
      </c>
    </row>
    <row r="25" spans="1:15" ht="24" customHeight="1" x14ac:dyDescent="0.2">
      <c r="A25" s="15">
        <v>45213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7"/>
      <c r="N25" s="17"/>
      <c r="O25" s="5">
        <f t="shared" si="0"/>
        <v>0</v>
      </c>
    </row>
    <row r="26" spans="1:15" ht="24" customHeight="1" x14ac:dyDescent="0.2">
      <c r="A26" s="15">
        <v>45214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5">
        <f t="shared" si="0"/>
        <v>0</v>
      </c>
    </row>
    <row r="27" spans="1:15" ht="24" customHeight="1" x14ac:dyDescent="0.2">
      <c r="A27" s="15">
        <v>45215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5">
        <f t="shared" si="0"/>
        <v>0</v>
      </c>
    </row>
    <row r="28" spans="1:15" ht="24" customHeight="1" x14ac:dyDescent="0.2">
      <c r="A28" s="15">
        <v>45216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7"/>
      <c r="N28" s="17"/>
      <c r="O28" s="5">
        <f t="shared" si="0"/>
        <v>0</v>
      </c>
    </row>
    <row r="29" spans="1:15" ht="24" customHeight="1" x14ac:dyDescent="0.2">
      <c r="A29" s="15">
        <v>45217</v>
      </c>
      <c r="B29" s="16"/>
      <c r="C29" s="16"/>
      <c r="D29" s="16"/>
      <c r="E29" s="16"/>
      <c r="F29" s="16"/>
      <c r="G29" s="16"/>
      <c r="H29" s="16"/>
      <c r="I29" s="16"/>
      <c r="J29" s="16"/>
      <c r="K29" s="16">
        <f>38</f>
        <v>38</v>
      </c>
      <c r="L29" s="17"/>
      <c r="M29" s="17"/>
      <c r="N29" s="17"/>
      <c r="O29" s="5">
        <f t="shared" si="0"/>
        <v>38</v>
      </c>
    </row>
    <row r="30" spans="1:15" ht="24" customHeight="1" x14ac:dyDescent="0.2">
      <c r="A30" s="15">
        <v>45218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5">
        <f t="shared" si="0"/>
        <v>0</v>
      </c>
    </row>
    <row r="31" spans="1:15" ht="24" customHeight="1" x14ac:dyDescent="0.2">
      <c r="A31" s="15">
        <v>45219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5">
        <f t="shared" si="0"/>
        <v>0</v>
      </c>
    </row>
    <row r="32" spans="1:15" ht="24" customHeight="1" x14ac:dyDescent="0.2">
      <c r="A32" s="15">
        <v>45220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5">
        <f t="shared" si="0"/>
        <v>0</v>
      </c>
    </row>
    <row r="33" spans="1:15" ht="24" customHeight="1" x14ac:dyDescent="0.2">
      <c r="A33" s="15">
        <v>45221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45222</v>
      </c>
      <c r="B34" s="16">
        <f>13.12</f>
        <v>13.12</v>
      </c>
      <c r="C34" s="16">
        <f>12.55</f>
        <v>12.55</v>
      </c>
      <c r="D34" s="16"/>
      <c r="E34" s="16"/>
      <c r="F34" s="16"/>
      <c r="G34" s="16"/>
      <c r="H34" s="16"/>
      <c r="I34" s="16">
        <f>0.59</f>
        <v>0.59</v>
      </c>
      <c r="J34" s="16">
        <f>0.62</f>
        <v>0.62</v>
      </c>
      <c r="K34" s="16"/>
      <c r="L34" s="17"/>
      <c r="M34" s="17"/>
      <c r="N34" s="17"/>
      <c r="O34" s="5">
        <f t="shared" ref="O34:O42" si="1">SUM(B34:K34)</f>
        <v>26.880000000000003</v>
      </c>
    </row>
    <row r="35" spans="1:15" ht="24" customHeight="1" x14ac:dyDescent="0.2">
      <c r="A35" s="15">
        <v>45223</v>
      </c>
      <c r="B35" s="16">
        <f>185.66</f>
        <v>185.66</v>
      </c>
      <c r="C35" s="16">
        <f>1.24+8.89+9.69+7.6+2.48+6.81+7.92</f>
        <v>44.63</v>
      </c>
      <c r="D35" s="16">
        <f>518.46</f>
        <v>518.46</v>
      </c>
      <c r="E35" s="16"/>
      <c r="F35" s="16"/>
      <c r="G35" s="16"/>
      <c r="H35" s="16"/>
      <c r="I35" s="16">
        <f>2.79+1.88</f>
        <v>4.67</v>
      </c>
      <c r="J35" s="16">
        <f>0.62</f>
        <v>0.62</v>
      </c>
      <c r="K35" s="16">
        <f>38+38</f>
        <v>76</v>
      </c>
      <c r="L35" s="17"/>
      <c r="M35" s="17"/>
      <c r="N35" s="17"/>
      <c r="O35" s="5">
        <f t="shared" si="1"/>
        <v>830.04</v>
      </c>
    </row>
    <row r="36" spans="1:15" ht="24" customHeight="1" x14ac:dyDescent="0.2">
      <c r="A36" s="15">
        <v>45224</v>
      </c>
      <c r="B36" s="16"/>
      <c r="C36" s="16"/>
      <c r="D36" s="16">
        <f>18.86</f>
        <v>18.86</v>
      </c>
      <c r="E36" s="16">
        <f>13.32+25.96+24.34+23.46+21.37+18.4</f>
        <v>126.85000000000002</v>
      </c>
      <c r="F36" s="16"/>
      <c r="G36" s="16"/>
      <c r="H36" s="16"/>
      <c r="I36" s="16"/>
      <c r="J36" s="16">
        <f>0.62</f>
        <v>0.62</v>
      </c>
      <c r="K36" s="16"/>
      <c r="L36" s="17"/>
      <c r="M36" s="17"/>
      <c r="N36" s="17"/>
      <c r="O36" s="5">
        <f t="shared" si="1"/>
        <v>146.33000000000004</v>
      </c>
    </row>
    <row r="37" spans="1:15" ht="24" customHeight="1" x14ac:dyDescent="0.2">
      <c r="A37" s="15">
        <v>45225</v>
      </c>
      <c r="B37" s="16"/>
      <c r="C37" s="16"/>
      <c r="D37" s="16">
        <f>96.93+147</f>
        <v>243.93</v>
      </c>
      <c r="E37" s="16">
        <f>99.69+66.95+71.67+59.85</f>
        <v>298.16000000000003</v>
      </c>
      <c r="F37" s="16"/>
      <c r="G37" s="16">
        <f>61.75</f>
        <v>61.75</v>
      </c>
      <c r="H37" s="16"/>
      <c r="I37" s="16"/>
      <c r="J37" s="16">
        <f>0.62</f>
        <v>0.62</v>
      </c>
      <c r="K37" s="16">
        <f>38</f>
        <v>38</v>
      </c>
      <c r="L37" s="17"/>
      <c r="M37" s="17"/>
      <c r="N37" s="17"/>
      <c r="O37" s="5">
        <f t="shared" si="1"/>
        <v>642.46</v>
      </c>
    </row>
    <row r="38" spans="1:15" ht="24" customHeight="1" x14ac:dyDescent="0.2">
      <c r="A38" s="15">
        <v>45226</v>
      </c>
      <c r="B38" s="16"/>
      <c r="C38" s="16"/>
      <c r="D38" s="16"/>
      <c r="E38" s="16"/>
      <c r="F38" s="16">
        <f>20.5</f>
        <v>20.5</v>
      </c>
      <c r="G38" s="16"/>
      <c r="H38" s="16"/>
      <c r="I38" s="16"/>
      <c r="J38" s="16"/>
      <c r="K38" s="16">
        <f>38</f>
        <v>38</v>
      </c>
      <c r="L38" s="17"/>
      <c r="M38" s="17"/>
      <c r="N38" s="17"/>
      <c r="O38" s="5">
        <f t="shared" si="1"/>
        <v>58.5</v>
      </c>
    </row>
    <row r="39" spans="1:15" ht="24" customHeight="1" x14ac:dyDescent="0.2">
      <c r="A39" s="15">
        <v>45227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5">
        <f t="shared" si="1"/>
        <v>0</v>
      </c>
    </row>
    <row r="40" spans="1:15" ht="24" customHeight="1" x14ac:dyDescent="0.2">
      <c r="A40" s="15">
        <v>45228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7"/>
      <c r="N40" s="17"/>
      <c r="O40" s="5">
        <f t="shared" si="1"/>
        <v>0</v>
      </c>
    </row>
    <row r="41" spans="1:15" ht="24" customHeight="1" x14ac:dyDescent="0.2">
      <c r="A41" s="15">
        <v>45229</v>
      </c>
      <c r="B41" s="16">
        <f>115.44+187.42</f>
        <v>302.86</v>
      </c>
      <c r="C41" s="16">
        <f>16.06+78.43+31.62+79.26</f>
        <v>205.37</v>
      </c>
      <c r="D41" s="16"/>
      <c r="E41" s="16"/>
      <c r="F41" s="16"/>
      <c r="G41" s="16"/>
      <c r="H41" s="16"/>
      <c r="I41" s="16"/>
      <c r="J41" s="16"/>
      <c r="K41" s="16"/>
      <c r="L41" s="17"/>
      <c r="M41" s="17"/>
      <c r="N41" s="17"/>
      <c r="O41" s="5">
        <f t="shared" si="1"/>
        <v>508.23</v>
      </c>
    </row>
    <row r="42" spans="1:15" ht="24" customHeight="1" x14ac:dyDescent="0.2">
      <c r="A42" s="15">
        <v>45230</v>
      </c>
      <c r="B42" s="16"/>
      <c r="C42" s="16"/>
      <c r="D42" s="16"/>
      <c r="E42" s="16">
        <f>21.37+18.4</f>
        <v>39.769999999999996</v>
      </c>
      <c r="F42" s="16"/>
      <c r="G42" s="16"/>
      <c r="H42" s="16"/>
      <c r="I42" s="16"/>
      <c r="J42" s="16">
        <f>0.62</f>
        <v>0.62</v>
      </c>
      <c r="K42" s="16">
        <f>38</f>
        <v>38</v>
      </c>
      <c r="L42" s="17"/>
      <c r="M42" s="17"/>
      <c r="N42" s="17"/>
      <c r="O42" s="5">
        <f t="shared" si="1"/>
        <v>78.389999999999986</v>
      </c>
    </row>
    <row r="43" spans="1:15" ht="24" customHeight="1" x14ac:dyDescent="0.2">
      <c r="A43" s="29" t="s">
        <v>2</v>
      </c>
      <c r="B43" s="40">
        <f t="shared" ref="B43:O43" si="2">SUM(B12:B42)</f>
        <v>1017.15</v>
      </c>
      <c r="C43" s="21">
        <f t="shared" si="2"/>
        <v>419.92</v>
      </c>
      <c r="D43" s="21">
        <f t="shared" si="2"/>
        <v>1239.74</v>
      </c>
      <c r="E43" s="21">
        <f>SUM(E12:E42)</f>
        <v>514.1400000000001</v>
      </c>
      <c r="F43" s="21">
        <f t="shared" si="2"/>
        <v>20.5</v>
      </c>
      <c r="G43" s="21">
        <f t="shared" si="2"/>
        <v>123.5</v>
      </c>
      <c r="H43" s="21">
        <f t="shared" si="2"/>
        <v>0</v>
      </c>
      <c r="I43" s="21">
        <f t="shared" si="2"/>
        <v>5.26</v>
      </c>
      <c r="J43" s="21">
        <f>SUM(J12:J42)</f>
        <v>6.2</v>
      </c>
      <c r="K43" s="21">
        <f t="shared" si="2"/>
        <v>342</v>
      </c>
      <c r="L43" s="21">
        <f t="shared" si="2"/>
        <v>0</v>
      </c>
      <c r="M43" s="21">
        <f t="shared" si="2"/>
        <v>0</v>
      </c>
      <c r="N43" s="22">
        <f t="shared" si="2"/>
        <v>0</v>
      </c>
      <c r="O43" s="5">
        <f t="shared" si="2"/>
        <v>3688.41</v>
      </c>
    </row>
    <row r="44" spans="1:15" ht="12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55"/>
      <c r="M44" s="55"/>
      <c r="N44" s="55"/>
      <c r="O44" s="55"/>
    </row>
    <row r="45" spans="1:15" ht="24" customHeight="1" x14ac:dyDescent="0.2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/>
    </row>
    <row r="46" spans="1:15" ht="24" customHeight="1" x14ac:dyDescent="0.2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6"/>
    </row>
  </sheetData>
  <mergeCells count="18">
    <mergeCell ref="A7:B7"/>
    <mergeCell ref="A9:A11"/>
    <mergeCell ref="B9:B11"/>
    <mergeCell ref="C9:C11"/>
    <mergeCell ref="D9:D11"/>
    <mergeCell ref="N9:N11"/>
    <mergeCell ref="O9:O11"/>
    <mergeCell ref="A44:K44"/>
    <mergeCell ref="L44:O44"/>
    <mergeCell ref="J9:J11"/>
    <mergeCell ref="K9:K11"/>
    <mergeCell ref="L9:L11"/>
    <mergeCell ref="M9:M11"/>
    <mergeCell ref="E9:E11"/>
    <mergeCell ref="F9:F11"/>
    <mergeCell ref="G9:G11"/>
    <mergeCell ref="H9:H11"/>
    <mergeCell ref="I9:I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  <ignoredErrors>
    <ignoredError sqref="O39:O4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B12" sqref="B12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2" t="s">
        <v>33</v>
      </c>
    </row>
    <row r="7" spans="1:15" ht="12" x14ac:dyDescent="0.2">
      <c r="A7" s="57">
        <v>45231</v>
      </c>
      <c r="B7" s="57"/>
      <c r="D7" s="14"/>
      <c r="E7" s="14"/>
      <c r="F7" s="14"/>
      <c r="G7" s="14"/>
      <c r="H7" s="14"/>
    </row>
    <row r="9" spans="1:15" ht="15" customHeight="1" x14ac:dyDescent="0.2">
      <c r="A9" s="58"/>
      <c r="B9" s="56" t="s">
        <v>28</v>
      </c>
      <c r="C9" s="56" t="s">
        <v>16</v>
      </c>
      <c r="D9" s="56" t="s">
        <v>29</v>
      </c>
      <c r="E9" s="56" t="s">
        <v>17</v>
      </c>
      <c r="F9" s="56" t="s">
        <v>18</v>
      </c>
      <c r="G9" s="56" t="s">
        <v>19</v>
      </c>
      <c r="H9" s="56" t="s">
        <v>20</v>
      </c>
      <c r="I9" s="56" t="s">
        <v>21</v>
      </c>
      <c r="J9" s="56" t="s">
        <v>22</v>
      </c>
      <c r="K9" s="56" t="s">
        <v>23</v>
      </c>
      <c r="L9" s="53" t="s">
        <v>25</v>
      </c>
      <c r="M9" s="53" t="s">
        <v>26</v>
      </c>
      <c r="N9" s="53" t="s">
        <v>27</v>
      </c>
      <c r="O9" s="54" t="s">
        <v>1</v>
      </c>
    </row>
    <row r="10" spans="1:15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3"/>
      <c r="M10" s="53"/>
      <c r="N10" s="53"/>
      <c r="O10" s="54"/>
    </row>
    <row r="11" spans="1:15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3"/>
      <c r="M11" s="53"/>
      <c r="N11" s="53"/>
      <c r="O11" s="54"/>
    </row>
    <row r="12" spans="1:15" ht="23.25" customHeight="1" x14ac:dyDescent="0.2">
      <c r="A12" s="15">
        <v>44501</v>
      </c>
      <c r="B12" s="16">
        <f>51.61</f>
        <v>51.61</v>
      </c>
      <c r="C12" s="16"/>
      <c r="D12" s="16"/>
      <c r="E12" s="16"/>
      <c r="F12" s="16"/>
      <c r="G12" s="16"/>
      <c r="H12" s="16"/>
      <c r="I12" s="16"/>
      <c r="J12" s="16">
        <f>0.62</f>
        <v>0.62</v>
      </c>
      <c r="K12" s="16">
        <f>38</f>
        <v>38</v>
      </c>
      <c r="L12" s="17"/>
      <c r="M12" s="17"/>
      <c r="N12" s="17"/>
      <c r="O12" s="5">
        <f>SUM(B12:K12)</f>
        <v>90.22999999999999</v>
      </c>
    </row>
    <row r="13" spans="1:15" ht="23.25" customHeight="1" x14ac:dyDescent="0.2">
      <c r="A13" s="15">
        <v>44502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7"/>
      <c r="O13" s="5">
        <f t="shared" ref="O13:O30" si="0">SUM(B13:K13)</f>
        <v>0</v>
      </c>
    </row>
    <row r="14" spans="1:15" ht="23.25" customHeight="1" x14ac:dyDescent="0.2">
      <c r="A14" s="15">
        <v>44503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7"/>
      <c r="O14" s="5">
        <f t="shared" si="0"/>
        <v>0</v>
      </c>
    </row>
    <row r="15" spans="1:15" ht="23.25" customHeight="1" x14ac:dyDescent="0.2">
      <c r="A15" s="15">
        <v>44504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7"/>
      <c r="O15" s="5">
        <f t="shared" si="0"/>
        <v>0</v>
      </c>
    </row>
    <row r="16" spans="1:15" ht="23.25" customHeight="1" x14ac:dyDescent="0.2">
      <c r="A16" s="15">
        <v>44505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>
        <f t="shared" si="0"/>
        <v>0</v>
      </c>
    </row>
    <row r="17" spans="1:15" ht="23.25" customHeight="1" x14ac:dyDescent="0.2">
      <c r="A17" s="15">
        <v>44506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>
        <f t="shared" si="0"/>
        <v>0</v>
      </c>
    </row>
    <row r="18" spans="1:15" ht="23.25" customHeight="1" x14ac:dyDescent="0.2">
      <c r="A18" s="15">
        <v>44507</v>
      </c>
      <c r="B18" s="16">
        <f>14.52+14.52+13.23</f>
        <v>42.269999999999996</v>
      </c>
      <c r="C18" s="16">
        <f>14.92+14.92+12.64</f>
        <v>42.480000000000004</v>
      </c>
      <c r="D18" s="16"/>
      <c r="E18" s="16"/>
      <c r="F18" s="16"/>
      <c r="G18" s="16"/>
      <c r="H18" s="16"/>
      <c r="I18" s="16">
        <f>0.6</f>
        <v>0.6</v>
      </c>
      <c r="J18" s="16">
        <f>0.62+0.62+0.62</f>
        <v>1.8599999999999999</v>
      </c>
      <c r="K18" s="16"/>
      <c r="L18" s="17"/>
      <c r="M18" s="17"/>
      <c r="N18" s="17"/>
      <c r="O18" s="5">
        <f t="shared" si="0"/>
        <v>87.21</v>
      </c>
    </row>
    <row r="19" spans="1:15" ht="23.25" customHeight="1" x14ac:dyDescent="0.2">
      <c r="A19" s="15">
        <v>44508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>
        <f t="shared" si="0"/>
        <v>0</v>
      </c>
    </row>
    <row r="20" spans="1:15" ht="23.25" customHeight="1" x14ac:dyDescent="0.2">
      <c r="A20" s="15">
        <v>44509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7"/>
      <c r="N20" s="17"/>
      <c r="O20" s="5">
        <f t="shared" si="0"/>
        <v>0</v>
      </c>
    </row>
    <row r="21" spans="1:15" ht="23.25" customHeight="1" x14ac:dyDescent="0.2">
      <c r="A21" s="15">
        <v>44510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5">
        <f t="shared" si="0"/>
        <v>0</v>
      </c>
    </row>
    <row r="22" spans="1:15" ht="23.25" customHeight="1" x14ac:dyDescent="0.2">
      <c r="A22" s="15">
        <v>44511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7"/>
      <c r="N22" s="17"/>
      <c r="O22" s="5">
        <f t="shared" si="0"/>
        <v>0</v>
      </c>
    </row>
    <row r="23" spans="1:15" ht="23.25" customHeight="1" x14ac:dyDescent="0.2">
      <c r="A23" s="15">
        <v>44512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5">
        <f t="shared" si="0"/>
        <v>0</v>
      </c>
    </row>
    <row r="24" spans="1:15" ht="23.25" customHeight="1" x14ac:dyDescent="0.2">
      <c r="A24" s="15">
        <v>44513</v>
      </c>
      <c r="B24" s="16">
        <f>77.39+73.5</f>
        <v>150.88999999999999</v>
      </c>
      <c r="C24" s="16">
        <f>70.97</f>
        <v>70.97</v>
      </c>
      <c r="D24" s="16"/>
      <c r="E24" s="16"/>
      <c r="F24" s="16">
        <f>20.5</f>
        <v>20.5</v>
      </c>
      <c r="G24" s="16"/>
      <c r="H24" s="16">
        <f>20.5</f>
        <v>20.5</v>
      </c>
      <c r="I24" s="16"/>
      <c r="J24" s="16">
        <f>0.62</f>
        <v>0.62</v>
      </c>
      <c r="K24" s="16">
        <f>38+38</f>
        <v>76</v>
      </c>
      <c r="L24" s="17"/>
      <c r="M24" s="17"/>
      <c r="N24" s="17"/>
      <c r="O24" s="5">
        <f t="shared" si="0"/>
        <v>339.48</v>
      </c>
    </row>
    <row r="25" spans="1:15" ht="23.25" customHeight="1" x14ac:dyDescent="0.2">
      <c r="A25" s="15">
        <v>44514</v>
      </c>
      <c r="B25" s="16"/>
      <c r="C25" s="16">
        <f>121.56</f>
        <v>121.56</v>
      </c>
      <c r="D25" s="16"/>
      <c r="E25" s="16"/>
      <c r="F25" s="16"/>
      <c r="G25" s="16"/>
      <c r="H25" s="16"/>
      <c r="I25" s="16"/>
      <c r="J25" s="16">
        <f>0.62</f>
        <v>0.62</v>
      </c>
      <c r="K25" s="16">
        <f>38+38</f>
        <v>76</v>
      </c>
      <c r="L25" s="17"/>
      <c r="M25" s="17"/>
      <c r="N25" s="17"/>
      <c r="O25" s="5">
        <f t="shared" si="0"/>
        <v>198.18</v>
      </c>
    </row>
    <row r="26" spans="1:15" ht="23.25" customHeight="1" x14ac:dyDescent="0.2">
      <c r="A26" s="15">
        <v>44515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5">
        <f t="shared" si="0"/>
        <v>0</v>
      </c>
    </row>
    <row r="27" spans="1:15" ht="23.25" customHeight="1" x14ac:dyDescent="0.2">
      <c r="A27" s="15">
        <v>44516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5">
        <f t="shared" si="0"/>
        <v>0</v>
      </c>
    </row>
    <row r="28" spans="1:15" ht="23.25" customHeight="1" x14ac:dyDescent="0.2">
      <c r="A28" s="15">
        <v>44517</v>
      </c>
      <c r="B28" s="16">
        <f>73.5</f>
        <v>73.5</v>
      </c>
      <c r="C28" s="16"/>
      <c r="D28" s="16"/>
      <c r="E28" s="16"/>
      <c r="F28" s="16">
        <f>20.5</f>
        <v>20.5</v>
      </c>
      <c r="G28" s="16"/>
      <c r="H28" s="16">
        <f>20.5</f>
        <v>20.5</v>
      </c>
      <c r="I28" s="16"/>
      <c r="J28" s="16"/>
      <c r="K28" s="16"/>
      <c r="L28" s="17"/>
      <c r="M28" s="17"/>
      <c r="N28" s="17"/>
      <c r="O28" s="5">
        <f t="shared" si="0"/>
        <v>114.5</v>
      </c>
    </row>
    <row r="29" spans="1:15" ht="23.25" customHeight="1" x14ac:dyDescent="0.2">
      <c r="A29" s="15">
        <v>44518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7"/>
      <c r="N29" s="17"/>
      <c r="O29" s="5">
        <f t="shared" si="0"/>
        <v>0</v>
      </c>
    </row>
    <row r="30" spans="1:15" ht="23.25" customHeight="1" x14ac:dyDescent="0.2">
      <c r="A30" s="15">
        <v>44519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5">
        <f t="shared" si="0"/>
        <v>0</v>
      </c>
    </row>
    <row r="31" spans="1:15" ht="23.25" customHeight="1" x14ac:dyDescent="0.2">
      <c r="A31" s="15">
        <v>44520</v>
      </c>
      <c r="B31" s="16"/>
      <c r="C31" s="16"/>
      <c r="D31" s="16">
        <v>48.67</v>
      </c>
      <c r="E31" s="16">
        <f>49.98</f>
        <v>49.98</v>
      </c>
      <c r="F31" s="16"/>
      <c r="G31" s="16"/>
      <c r="H31" s="16"/>
      <c r="I31" s="16"/>
      <c r="J31" s="16">
        <f>0.62</f>
        <v>0.62</v>
      </c>
      <c r="K31" s="16"/>
      <c r="L31" s="17"/>
      <c r="M31" s="17"/>
      <c r="N31" s="17"/>
      <c r="O31" s="5">
        <f t="shared" ref="O31:O41" si="1">SUM(B31:K31)</f>
        <v>99.27000000000001</v>
      </c>
    </row>
    <row r="32" spans="1:15" ht="24" customHeight="1" x14ac:dyDescent="0.2">
      <c r="A32" s="15">
        <v>44521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5">
        <f t="shared" si="1"/>
        <v>0</v>
      </c>
    </row>
    <row r="33" spans="1:15" ht="24" customHeight="1" x14ac:dyDescent="0.2">
      <c r="A33" s="15">
        <v>44522</v>
      </c>
      <c r="B33" s="16">
        <f>13.33</f>
        <v>13.33</v>
      </c>
      <c r="C33" s="16">
        <f>12.74</f>
        <v>12.74</v>
      </c>
      <c r="D33" s="16"/>
      <c r="E33" s="16"/>
      <c r="F33" s="16"/>
      <c r="G33" s="16"/>
      <c r="H33" s="16"/>
      <c r="I33" s="16">
        <f>0.6</f>
        <v>0.6</v>
      </c>
      <c r="J33" s="16">
        <f>0.62</f>
        <v>0.62</v>
      </c>
      <c r="K33" s="16">
        <v>38</v>
      </c>
      <c r="L33" s="17"/>
      <c r="M33" s="17"/>
      <c r="N33" s="17"/>
      <c r="O33" s="5">
        <f t="shared" si="1"/>
        <v>65.290000000000006</v>
      </c>
    </row>
    <row r="34" spans="1:15" ht="24" customHeight="1" x14ac:dyDescent="0.2">
      <c r="A34" s="15">
        <v>44523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7"/>
      <c r="N34" s="17"/>
      <c r="O34" s="5">
        <f t="shared" si="1"/>
        <v>0</v>
      </c>
    </row>
    <row r="35" spans="1:15" ht="24" customHeight="1" x14ac:dyDescent="0.2">
      <c r="A35" s="15">
        <v>44524</v>
      </c>
      <c r="B35" s="16"/>
      <c r="C35" s="16">
        <f>2.5+6.85+7.98+7.66+9.77+8.98+1.25</f>
        <v>44.989999999999995</v>
      </c>
      <c r="D35" s="16"/>
      <c r="E35" s="16"/>
      <c r="F35" s="16">
        <f>20.5</f>
        <v>20.5</v>
      </c>
      <c r="G35" s="16"/>
      <c r="H35" s="16"/>
      <c r="I35" s="16">
        <f>1.9+2.81</f>
        <v>4.71</v>
      </c>
      <c r="J35" s="16">
        <f>0.62</f>
        <v>0.62</v>
      </c>
      <c r="K35" s="16"/>
      <c r="L35" s="17"/>
      <c r="M35" s="17"/>
      <c r="N35" s="17"/>
      <c r="O35" s="5">
        <f t="shared" si="1"/>
        <v>70.819999999999993</v>
      </c>
    </row>
    <row r="36" spans="1:15" ht="24" customHeight="1" x14ac:dyDescent="0.2">
      <c r="A36" s="15">
        <v>44525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7"/>
      <c r="N36" s="17"/>
      <c r="O36" s="5">
        <f t="shared" si="1"/>
        <v>0</v>
      </c>
    </row>
    <row r="37" spans="1:15" ht="24" customHeight="1" x14ac:dyDescent="0.2">
      <c r="A37" s="15">
        <v>44526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5">
        <f t="shared" si="1"/>
        <v>0</v>
      </c>
    </row>
    <row r="38" spans="1:15" ht="24" customHeight="1" x14ac:dyDescent="0.2">
      <c r="A38" s="15">
        <v>44527</v>
      </c>
      <c r="B38" s="16">
        <f>73.5</f>
        <v>73.5</v>
      </c>
      <c r="C38" s="16"/>
      <c r="D38" s="16"/>
      <c r="E38" s="16"/>
      <c r="F38" s="16">
        <f>20.5</f>
        <v>20.5</v>
      </c>
      <c r="G38" s="16"/>
      <c r="H38" s="16">
        <f>20.5</f>
        <v>20.5</v>
      </c>
      <c r="I38" s="16"/>
      <c r="J38" s="16"/>
      <c r="K38" s="16"/>
      <c r="L38" s="17"/>
      <c r="M38" s="17"/>
      <c r="N38" s="17"/>
      <c r="O38" s="5">
        <f t="shared" si="1"/>
        <v>114.5</v>
      </c>
    </row>
    <row r="39" spans="1:15" ht="24" customHeight="1" x14ac:dyDescent="0.2">
      <c r="A39" s="15">
        <v>44528</v>
      </c>
      <c r="B39" s="16"/>
      <c r="C39" s="16"/>
      <c r="D39" s="16"/>
      <c r="E39" s="16"/>
      <c r="F39" s="16"/>
      <c r="G39" s="16"/>
      <c r="H39" s="16"/>
      <c r="I39" s="16"/>
      <c r="J39" s="16"/>
      <c r="K39" s="16">
        <f>38</f>
        <v>38</v>
      </c>
      <c r="L39" s="17"/>
      <c r="M39" s="17"/>
      <c r="N39" s="17"/>
      <c r="O39" s="5">
        <f t="shared" si="1"/>
        <v>38</v>
      </c>
    </row>
    <row r="40" spans="1:15" ht="24" customHeight="1" x14ac:dyDescent="0.2">
      <c r="A40" s="15">
        <v>44529</v>
      </c>
      <c r="B40" s="16"/>
      <c r="C40" s="16"/>
      <c r="D40" s="16">
        <f>19.04</f>
        <v>19.04</v>
      </c>
      <c r="E40" s="16">
        <f>21.55+18.57+13.4+26.14+24.52+23.64+21.55+18.57</f>
        <v>167.94</v>
      </c>
      <c r="F40" s="16"/>
      <c r="G40" s="16"/>
      <c r="H40" s="16"/>
      <c r="I40" s="16"/>
      <c r="J40" s="16">
        <f>0.62+0.62</f>
        <v>1.24</v>
      </c>
      <c r="K40" s="16">
        <f>38</f>
        <v>38</v>
      </c>
      <c r="L40" s="17"/>
      <c r="M40" s="17"/>
      <c r="N40" s="17"/>
      <c r="O40" s="5">
        <f t="shared" si="1"/>
        <v>226.22</v>
      </c>
    </row>
    <row r="41" spans="1:15" ht="24" customHeight="1" x14ac:dyDescent="0.2">
      <c r="A41" s="15">
        <v>44530</v>
      </c>
      <c r="B41" s="16"/>
      <c r="C41" s="16"/>
      <c r="D41" s="16"/>
      <c r="E41" s="16"/>
      <c r="F41" s="16"/>
      <c r="G41" s="16"/>
      <c r="H41" s="16"/>
      <c r="I41" s="16"/>
      <c r="J41" s="16"/>
      <c r="K41" s="16">
        <f>38</f>
        <v>38</v>
      </c>
      <c r="L41" s="17"/>
      <c r="M41" s="17"/>
      <c r="N41" s="17"/>
      <c r="O41" s="5">
        <f t="shared" si="1"/>
        <v>38</v>
      </c>
    </row>
    <row r="42" spans="1:15" ht="24" customHeight="1" x14ac:dyDescent="0.2">
      <c r="A42" s="29" t="s">
        <v>2</v>
      </c>
      <c r="B42" s="40">
        <f t="shared" ref="B42:O42" si="2">SUM(B12:B41)</f>
        <v>405.09999999999997</v>
      </c>
      <c r="C42" s="21">
        <f t="shared" si="2"/>
        <v>292.74</v>
      </c>
      <c r="D42" s="21">
        <f t="shared" si="2"/>
        <v>67.710000000000008</v>
      </c>
      <c r="E42" s="21">
        <f t="shared" si="2"/>
        <v>217.92</v>
      </c>
      <c r="F42" s="21">
        <f t="shared" si="2"/>
        <v>82</v>
      </c>
      <c r="G42" s="21">
        <f t="shared" si="2"/>
        <v>0</v>
      </c>
      <c r="H42" s="21">
        <f t="shared" si="2"/>
        <v>61.5</v>
      </c>
      <c r="I42" s="21">
        <f t="shared" si="2"/>
        <v>5.91</v>
      </c>
      <c r="J42" s="21">
        <f t="shared" si="2"/>
        <v>6.82</v>
      </c>
      <c r="K42" s="21">
        <f t="shared" si="2"/>
        <v>342</v>
      </c>
      <c r="L42" s="21">
        <f t="shared" si="2"/>
        <v>0</v>
      </c>
      <c r="M42" s="21">
        <f t="shared" si="2"/>
        <v>0</v>
      </c>
      <c r="N42" s="22">
        <f t="shared" si="2"/>
        <v>0</v>
      </c>
      <c r="O42" s="5">
        <f t="shared" si="2"/>
        <v>1481.7</v>
      </c>
    </row>
    <row r="43" spans="1:15" ht="12" customHeight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55"/>
      <c r="M43" s="55"/>
      <c r="N43" s="55"/>
      <c r="O43" s="55"/>
    </row>
    <row r="44" spans="1:15" ht="24" customHeight="1" x14ac:dyDescent="0.2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6"/>
    </row>
    <row r="45" spans="1:15" ht="24" customHeight="1" x14ac:dyDescent="0.2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/>
    </row>
  </sheetData>
  <mergeCells count="18">
    <mergeCell ref="A7:B7"/>
    <mergeCell ref="A9:A11"/>
    <mergeCell ref="B9:B11"/>
    <mergeCell ref="C9:C11"/>
    <mergeCell ref="D9:D11"/>
    <mergeCell ref="N9:N11"/>
    <mergeCell ref="O9:O11"/>
    <mergeCell ref="A43:K43"/>
    <mergeCell ref="L43:O43"/>
    <mergeCell ref="J9:J11"/>
    <mergeCell ref="K9:K11"/>
    <mergeCell ref="L9:L11"/>
    <mergeCell ref="M9:M11"/>
    <mergeCell ref="E9:E11"/>
    <mergeCell ref="F9:F11"/>
    <mergeCell ref="G9:G11"/>
    <mergeCell ref="H9:H11"/>
    <mergeCell ref="I9:I11"/>
  </mergeCells>
  <pageMargins left="0.31527777777777799" right="0.31527777777777799" top="0.78749999999999998" bottom="0.78749999999999998" header="0.511811023622047" footer="0.511811023622047"/>
  <pageSetup paperSize="9" scale="80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6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N39" sqref="N39"/>
    </sheetView>
  </sheetViews>
  <sheetFormatPr defaultColWidth="9.140625" defaultRowHeight="11.25" x14ac:dyDescent="0.2"/>
  <cols>
    <col min="1" max="1" width="7.42578125" style="2" customWidth="1"/>
    <col min="2" max="2" width="8.140625" style="2" customWidth="1"/>
    <col min="3" max="3" width="7.85546875" style="2" customWidth="1"/>
    <col min="4" max="4" width="8.42578125" style="2" customWidth="1"/>
    <col min="5" max="5" width="9" style="2" customWidth="1"/>
    <col min="6" max="6" width="8.85546875" style="2" customWidth="1"/>
    <col min="7" max="7" width="8.5703125" style="2" customWidth="1"/>
    <col min="8" max="8" width="6.42578125" style="2" customWidth="1"/>
    <col min="9" max="10" width="8" style="2" customWidth="1"/>
    <col min="11" max="11" width="8.7109375" style="2" customWidth="1"/>
    <col min="12" max="12" width="7.5703125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2" t="s">
        <v>33</v>
      </c>
      <c r="B5" s="42"/>
    </row>
    <row r="7" spans="1:16" ht="12" x14ac:dyDescent="0.2">
      <c r="A7" s="57">
        <v>45261</v>
      </c>
      <c r="B7" s="57"/>
      <c r="C7" s="57"/>
      <c r="E7" s="14"/>
      <c r="F7" s="14"/>
      <c r="G7" s="14"/>
      <c r="H7" s="14"/>
      <c r="I7" s="14"/>
    </row>
    <row r="9" spans="1:16" ht="15" customHeight="1" x14ac:dyDescent="0.2">
      <c r="A9" s="58"/>
      <c r="B9" s="58" t="s">
        <v>40</v>
      </c>
      <c r="C9" s="56" t="s">
        <v>28</v>
      </c>
      <c r="D9" s="56" t="s">
        <v>16</v>
      </c>
      <c r="E9" s="56" t="s">
        <v>29</v>
      </c>
      <c r="F9" s="56" t="s">
        <v>17</v>
      </c>
      <c r="G9" s="56" t="s">
        <v>18</v>
      </c>
      <c r="H9" s="56" t="s">
        <v>19</v>
      </c>
      <c r="I9" s="56" t="s">
        <v>20</v>
      </c>
      <c r="J9" s="56" t="s">
        <v>21</v>
      </c>
      <c r="K9" s="56" t="s">
        <v>22</v>
      </c>
      <c r="L9" s="56" t="s">
        <v>23</v>
      </c>
      <c r="M9" s="53" t="s">
        <v>25</v>
      </c>
      <c r="N9" s="53" t="s">
        <v>26</v>
      </c>
      <c r="O9" s="53" t="s">
        <v>27</v>
      </c>
      <c r="P9" s="54" t="s">
        <v>1</v>
      </c>
    </row>
    <row r="10" spans="1:16" ht="11.25" customHeight="1" x14ac:dyDescent="0.2">
      <c r="A10" s="58"/>
      <c r="B10" s="61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3"/>
      <c r="N10" s="53"/>
      <c r="O10" s="53"/>
      <c r="P10" s="54"/>
    </row>
    <row r="11" spans="1:16" ht="11.25" customHeight="1" x14ac:dyDescent="0.2">
      <c r="A11" s="58"/>
      <c r="B11" s="61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3"/>
      <c r="N11" s="53"/>
      <c r="O11" s="53"/>
      <c r="P11" s="54"/>
    </row>
    <row r="12" spans="1:16" ht="23.25" customHeight="1" x14ac:dyDescent="0.2">
      <c r="A12" s="15">
        <v>44531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>SUM(B12:L12)</f>
        <v>0</v>
      </c>
    </row>
    <row r="13" spans="1:16" ht="23.25" customHeight="1" x14ac:dyDescent="0.2">
      <c r="A13" s="15">
        <v>44532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ref="P13:P42" si="0">SUM(B13:L13)</f>
        <v>0</v>
      </c>
    </row>
    <row r="14" spans="1:16" ht="23.25" customHeight="1" x14ac:dyDescent="0.2">
      <c r="A14" s="15">
        <v>44533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5">
        <f t="shared" si="0"/>
        <v>0</v>
      </c>
    </row>
    <row r="15" spans="1:16" ht="23.25" customHeight="1" x14ac:dyDescent="0.2">
      <c r="A15" s="15">
        <v>44534</v>
      </c>
      <c r="B15" s="15"/>
      <c r="C15" s="16">
        <f>51.7</f>
        <v>51.7</v>
      </c>
      <c r="D15" s="16"/>
      <c r="E15" s="16"/>
      <c r="F15" s="16"/>
      <c r="G15" s="16"/>
      <c r="H15" s="16"/>
      <c r="I15" s="16"/>
      <c r="J15" s="16"/>
      <c r="K15" s="16">
        <f>0.62</f>
        <v>0.62</v>
      </c>
      <c r="L15" s="16"/>
      <c r="M15" s="17"/>
      <c r="N15" s="17"/>
      <c r="O15" s="17"/>
      <c r="P15" s="5">
        <f t="shared" si="0"/>
        <v>52.32</v>
      </c>
    </row>
    <row r="16" spans="1:16" ht="23.25" customHeight="1" x14ac:dyDescent="0.2">
      <c r="A16" s="15">
        <v>44535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7"/>
      <c r="O16" s="17"/>
      <c r="P16" s="5">
        <f t="shared" si="0"/>
        <v>0</v>
      </c>
    </row>
    <row r="17" spans="1:16" ht="23.25" customHeight="1" x14ac:dyDescent="0.2">
      <c r="A17" s="15">
        <v>44536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7"/>
      <c r="O17" s="17"/>
      <c r="P17" s="5">
        <f t="shared" si="0"/>
        <v>0</v>
      </c>
    </row>
    <row r="18" spans="1:16" ht="23.25" customHeight="1" x14ac:dyDescent="0.2">
      <c r="A18" s="15">
        <v>44537</v>
      </c>
      <c r="B18" s="16"/>
      <c r="C18" s="16">
        <f>118.24</f>
        <v>118.24</v>
      </c>
      <c r="D18" s="16">
        <f>78.86</f>
        <v>78.86</v>
      </c>
      <c r="E18" s="16"/>
      <c r="F18" s="16"/>
      <c r="G18" s="16"/>
      <c r="H18" s="16"/>
      <c r="I18" s="16"/>
      <c r="J18" s="16"/>
      <c r="K18" s="16">
        <f>0.62</f>
        <v>0.62</v>
      </c>
      <c r="L18" s="16">
        <f>38</f>
        <v>38</v>
      </c>
      <c r="M18" s="17"/>
      <c r="N18" s="17"/>
      <c r="O18" s="17"/>
      <c r="P18" s="5">
        <f t="shared" si="0"/>
        <v>235.72</v>
      </c>
    </row>
    <row r="19" spans="1:16" ht="23.25" customHeight="1" x14ac:dyDescent="0.2">
      <c r="A19" s="15">
        <v>44538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17"/>
      <c r="O19" s="17"/>
      <c r="P19" s="5">
        <f t="shared" si="0"/>
        <v>0</v>
      </c>
    </row>
    <row r="20" spans="1:16" ht="23.25" customHeight="1" x14ac:dyDescent="0.2">
      <c r="A20" s="15">
        <v>44539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  <c r="N20" s="17"/>
      <c r="O20" s="17"/>
      <c r="P20" s="5">
        <f t="shared" si="0"/>
        <v>0</v>
      </c>
    </row>
    <row r="21" spans="1:16" ht="23.25" customHeight="1" x14ac:dyDescent="0.2">
      <c r="A21" s="15">
        <v>44540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  <c r="N21" s="17"/>
      <c r="O21" s="17"/>
      <c r="P21" s="5">
        <f t="shared" si="0"/>
        <v>0</v>
      </c>
    </row>
    <row r="22" spans="1:16" ht="23.25" customHeight="1" x14ac:dyDescent="0.2">
      <c r="A22" s="15">
        <v>44541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7"/>
      <c r="O22" s="17"/>
      <c r="P22" s="5">
        <f t="shared" si="0"/>
        <v>0</v>
      </c>
    </row>
    <row r="23" spans="1:16" ht="23.25" customHeight="1" x14ac:dyDescent="0.2">
      <c r="A23" s="15">
        <v>44542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  <c r="N23" s="17"/>
      <c r="O23" s="17"/>
      <c r="P23" s="5">
        <f t="shared" si="0"/>
        <v>0</v>
      </c>
    </row>
    <row r="24" spans="1:16" ht="23.25" customHeight="1" x14ac:dyDescent="0.2">
      <c r="A24" s="15">
        <v>44543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>
        <v>28.75</v>
      </c>
      <c r="M24" s="17"/>
      <c r="N24" s="17"/>
      <c r="O24" s="17"/>
      <c r="P24" s="5">
        <f t="shared" si="0"/>
        <v>28.75</v>
      </c>
    </row>
    <row r="25" spans="1:16" ht="23.25" customHeight="1" x14ac:dyDescent="0.2">
      <c r="A25" s="15">
        <v>44544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5">
        <f t="shared" si="0"/>
        <v>0</v>
      </c>
    </row>
    <row r="26" spans="1:16" ht="23.25" customHeight="1" x14ac:dyDescent="0.2">
      <c r="A26" s="15">
        <v>44545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17"/>
      <c r="O26" s="17"/>
      <c r="P26" s="5">
        <f t="shared" si="0"/>
        <v>0</v>
      </c>
    </row>
    <row r="27" spans="1:16" ht="23.25" customHeight="1" x14ac:dyDescent="0.2">
      <c r="A27" s="15">
        <v>44546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  <c r="N27" s="17"/>
      <c r="O27" s="17"/>
      <c r="P27" s="5">
        <f t="shared" si="0"/>
        <v>0</v>
      </c>
    </row>
    <row r="28" spans="1:16" ht="23.25" customHeight="1" x14ac:dyDescent="0.2">
      <c r="A28" s="15">
        <v>44547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5">
        <f t="shared" si="0"/>
        <v>0</v>
      </c>
    </row>
    <row r="29" spans="1:16" ht="23.25" customHeight="1" x14ac:dyDescent="0.2">
      <c r="A29" s="15">
        <v>44548</v>
      </c>
      <c r="B29" s="16"/>
      <c r="C29" s="16"/>
      <c r="D29" s="16"/>
      <c r="E29" s="16"/>
      <c r="F29" s="16"/>
      <c r="G29" s="16">
        <f>20.5+20.5</f>
        <v>41</v>
      </c>
      <c r="H29" s="16"/>
      <c r="I29" s="16"/>
      <c r="J29" s="16"/>
      <c r="K29" s="16"/>
      <c r="L29" s="16"/>
      <c r="M29" s="17"/>
      <c r="N29" s="17"/>
      <c r="O29" s="17"/>
      <c r="P29" s="5">
        <f t="shared" si="0"/>
        <v>41</v>
      </c>
    </row>
    <row r="30" spans="1:16" ht="23.25" customHeight="1" x14ac:dyDescent="0.2">
      <c r="A30" s="15">
        <v>44549</v>
      </c>
      <c r="B30" s="16"/>
      <c r="C30" s="16"/>
      <c r="D30" s="16"/>
      <c r="E30" s="16">
        <f>72.19</f>
        <v>72.19</v>
      </c>
      <c r="F30" s="16"/>
      <c r="G30" s="16"/>
      <c r="H30" s="16"/>
      <c r="I30" s="16"/>
      <c r="J30" s="16"/>
      <c r="K30" s="16">
        <f>0.62</f>
        <v>0.62</v>
      </c>
      <c r="L30" s="16"/>
      <c r="M30" s="17"/>
      <c r="N30" s="17"/>
      <c r="O30" s="17"/>
      <c r="P30" s="5">
        <f t="shared" si="0"/>
        <v>72.81</v>
      </c>
    </row>
    <row r="31" spans="1:16" ht="23.25" customHeight="1" x14ac:dyDescent="0.2">
      <c r="A31" s="15">
        <v>44550</v>
      </c>
      <c r="B31" s="16">
        <f>128.88</f>
        <v>128.88</v>
      </c>
      <c r="C31" s="16">
        <f>31.24</f>
        <v>31.24</v>
      </c>
      <c r="D31" s="16">
        <f>12.12+19.99+19.93</f>
        <v>52.04</v>
      </c>
      <c r="E31" s="16"/>
      <c r="F31" s="16"/>
      <c r="G31" s="16">
        <f>20.5</f>
        <v>20.5</v>
      </c>
      <c r="H31" s="16"/>
      <c r="I31" s="16"/>
      <c r="J31" s="16"/>
      <c r="K31" s="16">
        <f>0.63</f>
        <v>0.63</v>
      </c>
      <c r="L31" s="16"/>
      <c r="M31" s="17"/>
      <c r="N31" s="17"/>
      <c r="O31" s="17"/>
      <c r="P31" s="5">
        <f t="shared" si="0"/>
        <v>233.29</v>
      </c>
    </row>
    <row r="32" spans="1:16" ht="24" customHeight="1" x14ac:dyDescent="0.2">
      <c r="A32" s="15">
        <v>44551</v>
      </c>
      <c r="B32" s="16"/>
      <c r="C32" s="16"/>
      <c r="D32" s="16"/>
      <c r="E32" s="16"/>
      <c r="F32" s="16"/>
      <c r="G32" s="16">
        <f>20.5+20.5</f>
        <v>41</v>
      </c>
      <c r="H32" s="16"/>
      <c r="I32" s="16"/>
      <c r="J32" s="16"/>
      <c r="K32" s="16"/>
      <c r="L32" s="16"/>
      <c r="M32" s="17"/>
      <c r="N32" s="17"/>
      <c r="O32" s="17"/>
      <c r="P32" s="5">
        <f t="shared" si="0"/>
        <v>41</v>
      </c>
    </row>
    <row r="33" spans="1:16" ht="24" customHeight="1" x14ac:dyDescent="0.2">
      <c r="A33" s="15">
        <v>44552</v>
      </c>
      <c r="B33" s="16">
        <f>128.88+128.88</f>
        <v>257.76</v>
      </c>
      <c r="C33" s="16"/>
      <c r="D33" s="16">
        <f>1.27+9.06+9.86+7.72+6.9+2.51+8.04</f>
        <v>45.359999999999992</v>
      </c>
      <c r="E33" s="16"/>
      <c r="F33" s="16"/>
      <c r="G33" s="16"/>
      <c r="H33" s="16"/>
      <c r="I33" s="16"/>
      <c r="J33" s="16">
        <f>2.83+1.91</f>
        <v>4.74</v>
      </c>
      <c r="K33" s="16">
        <f>0.62</f>
        <v>0.62</v>
      </c>
      <c r="L33" s="16"/>
      <c r="M33" s="17"/>
      <c r="N33" s="17"/>
      <c r="O33" s="17"/>
      <c r="P33" s="5">
        <f t="shared" si="0"/>
        <v>308.48</v>
      </c>
    </row>
    <row r="34" spans="1:16" ht="24" customHeight="1" x14ac:dyDescent="0.2">
      <c r="A34" s="15">
        <v>44553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  <c r="N34" s="17"/>
      <c r="O34" s="17"/>
      <c r="P34" s="5">
        <f t="shared" si="0"/>
        <v>0</v>
      </c>
    </row>
    <row r="35" spans="1:16" ht="24" customHeight="1" x14ac:dyDescent="0.2">
      <c r="A35" s="15">
        <v>44554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  <c r="N35" s="17"/>
      <c r="O35" s="17"/>
      <c r="P35" s="5">
        <f t="shared" si="0"/>
        <v>0</v>
      </c>
    </row>
    <row r="36" spans="1:16" ht="24" customHeight="1" x14ac:dyDescent="0.2">
      <c r="A36" s="15">
        <v>44555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  <c r="N36" s="17"/>
      <c r="O36" s="17"/>
      <c r="P36" s="5">
        <f t="shared" si="0"/>
        <v>0</v>
      </c>
    </row>
    <row r="37" spans="1:16" ht="24" customHeight="1" x14ac:dyDescent="0.2">
      <c r="A37" s="15">
        <v>44556</v>
      </c>
      <c r="B37" s="16"/>
      <c r="C37" s="16">
        <f>47.3</f>
        <v>47.3</v>
      </c>
      <c r="D37" s="16"/>
      <c r="E37" s="16">
        <f>49.35</f>
        <v>49.35</v>
      </c>
      <c r="F37" s="16">
        <f>50.59</f>
        <v>50.59</v>
      </c>
      <c r="G37" s="16"/>
      <c r="H37" s="16"/>
      <c r="I37" s="16"/>
      <c r="J37" s="16"/>
      <c r="K37" s="16">
        <f>0.62+0.62</f>
        <v>1.24</v>
      </c>
      <c r="L37" s="16"/>
      <c r="M37" s="17"/>
      <c r="N37" s="17"/>
      <c r="O37" s="17"/>
      <c r="P37" s="5">
        <f t="shared" si="0"/>
        <v>148.48000000000002</v>
      </c>
    </row>
    <row r="38" spans="1:16" ht="24" customHeight="1" x14ac:dyDescent="0.2">
      <c r="A38" s="15">
        <v>44557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  <c r="N38" s="17"/>
      <c r="O38" s="17"/>
      <c r="P38" s="5">
        <f t="shared" si="0"/>
        <v>0</v>
      </c>
    </row>
    <row r="39" spans="1:16" ht="24" customHeight="1" x14ac:dyDescent="0.2">
      <c r="A39" s="15">
        <v>44558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  <c r="N39" s="17"/>
      <c r="O39" s="17"/>
      <c r="P39" s="5">
        <f t="shared" si="0"/>
        <v>0</v>
      </c>
    </row>
    <row r="40" spans="1:16" ht="24" customHeight="1" x14ac:dyDescent="0.2">
      <c r="A40" s="15">
        <v>44559</v>
      </c>
      <c r="B40" s="16"/>
      <c r="C40" s="16">
        <f>73.5</f>
        <v>73.5</v>
      </c>
      <c r="D40" s="16"/>
      <c r="E40" s="16">
        <f>19.22</f>
        <v>19.22</v>
      </c>
      <c r="F40" s="16">
        <f>18.74+21.72+13.5+18.74+21.72+23.82+24.7+26.33</f>
        <v>169.26999999999998</v>
      </c>
      <c r="G40" s="16">
        <f>20.5</f>
        <v>20.5</v>
      </c>
      <c r="H40" s="16"/>
      <c r="I40" s="16">
        <f>20.5</f>
        <v>20.5</v>
      </c>
      <c r="J40" s="16"/>
      <c r="K40" s="16">
        <f>0.62+0.62</f>
        <v>1.24</v>
      </c>
      <c r="L40" s="16"/>
      <c r="M40" s="17"/>
      <c r="N40" s="17"/>
      <c r="O40" s="17"/>
      <c r="P40" s="5">
        <f t="shared" si="0"/>
        <v>304.23</v>
      </c>
    </row>
    <row r="41" spans="1:16" ht="24" customHeight="1" x14ac:dyDescent="0.2">
      <c r="A41" s="15">
        <v>44560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  <c r="N41" s="17"/>
      <c r="O41" s="17"/>
      <c r="P41" s="5">
        <f t="shared" si="0"/>
        <v>0</v>
      </c>
    </row>
    <row r="42" spans="1:16" ht="24" customHeight="1" x14ac:dyDescent="0.2">
      <c r="A42" s="15">
        <v>44561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  <c r="N42" s="17"/>
      <c r="O42" s="17"/>
      <c r="P42" s="5">
        <f t="shared" si="0"/>
        <v>0</v>
      </c>
    </row>
    <row r="43" spans="1:16" ht="24" customHeight="1" x14ac:dyDescent="0.2">
      <c r="A43" s="29" t="s">
        <v>2</v>
      </c>
      <c r="B43" s="48"/>
      <c r="C43" s="40">
        <f t="shared" ref="C43:P43" si="1">SUM(C12:C42)</f>
        <v>321.98</v>
      </c>
      <c r="D43" s="21">
        <f t="shared" si="1"/>
        <v>176.26</v>
      </c>
      <c r="E43" s="21">
        <f t="shared" si="1"/>
        <v>140.76</v>
      </c>
      <c r="F43" s="21">
        <f t="shared" si="1"/>
        <v>219.85999999999999</v>
      </c>
      <c r="G43" s="21">
        <f t="shared" si="1"/>
        <v>123</v>
      </c>
      <c r="H43" s="21">
        <f t="shared" si="1"/>
        <v>0</v>
      </c>
      <c r="I43" s="21">
        <f t="shared" si="1"/>
        <v>20.5</v>
      </c>
      <c r="J43" s="21">
        <f t="shared" si="1"/>
        <v>4.74</v>
      </c>
      <c r="K43" s="21">
        <f t="shared" si="1"/>
        <v>5.59</v>
      </c>
      <c r="L43" s="21">
        <f t="shared" si="1"/>
        <v>66.75</v>
      </c>
      <c r="M43" s="21">
        <f t="shared" si="1"/>
        <v>0</v>
      </c>
      <c r="N43" s="21">
        <f t="shared" si="1"/>
        <v>0</v>
      </c>
      <c r="O43" s="22">
        <f t="shared" si="1"/>
        <v>0</v>
      </c>
      <c r="P43" s="5">
        <f t="shared" si="1"/>
        <v>1466.08</v>
      </c>
    </row>
    <row r="44" spans="1:16" ht="12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55"/>
      <c r="N44" s="55"/>
      <c r="O44" s="55"/>
      <c r="P44" s="55"/>
    </row>
    <row r="45" spans="1:16" ht="24" customHeight="1" x14ac:dyDescent="0.2">
      <c r="A45" s="24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6"/>
    </row>
    <row r="46" spans="1:16" ht="24" customHeight="1" x14ac:dyDescent="0.2">
      <c r="A46" s="24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</row>
  </sheetData>
  <mergeCells count="19">
    <mergeCell ref="M44:P44"/>
    <mergeCell ref="A9:A11"/>
    <mergeCell ref="E9:E11"/>
    <mergeCell ref="F9:F11"/>
    <mergeCell ref="G9:G11"/>
    <mergeCell ref="C9:C11"/>
    <mergeCell ref="A44:L44"/>
    <mergeCell ref="B9:B11"/>
    <mergeCell ref="A7:C7"/>
    <mergeCell ref="M9:M11"/>
    <mergeCell ref="N9:N11"/>
    <mergeCell ref="O9:O11"/>
    <mergeCell ref="P9:P11"/>
    <mergeCell ref="H9:H11"/>
    <mergeCell ref="I9:I11"/>
    <mergeCell ref="J9:J11"/>
    <mergeCell ref="K9:K11"/>
    <mergeCell ref="L9:L11"/>
    <mergeCell ref="D9:D11"/>
  </mergeCells>
  <pageMargins left="0.25" right="0.25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RECEITA TOTAL</vt:lpstr>
      <vt:lpstr>JAN 25%</vt:lpstr>
      <vt:lpstr>FEV 25% </vt:lpstr>
      <vt:lpstr>MAR 25% </vt:lpstr>
      <vt:lpstr>ABR 25% </vt:lpstr>
      <vt:lpstr>MAI 25%</vt:lpstr>
      <vt:lpstr>JUN 25%</vt:lpstr>
      <vt:lpstr>AGO 25% </vt:lpstr>
      <vt:lpstr>SET 25%</vt:lpstr>
      <vt:lpstr>OUT 25%</vt:lpstr>
      <vt:lpstr>NOV 25%</vt:lpstr>
      <vt:lpstr>DEZ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crmvap01@hotmail.com</cp:lastModifiedBy>
  <cp:revision>39</cp:revision>
  <cp:lastPrinted>2024-03-05T15:21:04Z</cp:lastPrinted>
  <dcterms:created xsi:type="dcterms:W3CDTF">2012-12-12T12:29:50Z</dcterms:created>
  <dcterms:modified xsi:type="dcterms:W3CDTF">2024-03-05T15:21:11Z</dcterms:modified>
  <dc:language>pt-BR</dc:language>
</cp:coreProperties>
</file>