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4\Fevereiro\"/>
    </mc:Choice>
  </mc:AlternateContent>
  <bookViews>
    <workbookView xWindow="0" yWindow="0" windowWidth="28800" windowHeight="11940" tabRatio="500" activeTab="2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3" l="1"/>
  <c r="C40" i="3"/>
  <c r="B40" i="3"/>
  <c r="E40" i="3"/>
  <c r="D40" i="3"/>
  <c r="K40" i="3"/>
  <c r="B38" i="3"/>
  <c r="J38" i="3"/>
  <c r="C38" i="3"/>
  <c r="K38" i="3"/>
  <c r="C37" i="3"/>
  <c r="I37" i="3"/>
  <c r="J37" i="3"/>
  <c r="D37" i="3"/>
  <c r="J34" i="3"/>
  <c r="C34" i="3"/>
  <c r="B34" i="3"/>
  <c r="C33" i="3"/>
  <c r="B33" i="3"/>
  <c r="B32" i="3"/>
  <c r="J32" i="3"/>
  <c r="E32" i="3"/>
  <c r="B31" i="3"/>
  <c r="J31" i="3"/>
  <c r="E31" i="3"/>
  <c r="D31" i="3"/>
  <c r="F30" i="3"/>
  <c r="B30" i="3"/>
  <c r="D30" i="3"/>
  <c r="K30" i="3"/>
  <c r="J30" i="3"/>
  <c r="E30" i="3"/>
  <c r="F27" i="3"/>
  <c r="H27" i="3"/>
  <c r="B27" i="3"/>
  <c r="K26" i="3"/>
  <c r="H25" i="3"/>
  <c r="F25" i="3"/>
  <c r="B25" i="3"/>
  <c r="B20" i="3"/>
  <c r="K20" i="3"/>
  <c r="D20" i="3"/>
  <c r="B19" i="3"/>
  <c r="K19" i="3"/>
  <c r="B18" i="3"/>
  <c r="K18" i="3"/>
  <c r="B17" i="3"/>
  <c r="J17" i="3"/>
  <c r="C17" i="3"/>
  <c r="J16" i="3"/>
  <c r="B16" i="3"/>
  <c r="D16" i="3"/>
  <c r="F13" i="3"/>
  <c r="H13" i="3"/>
  <c r="B13" i="3"/>
  <c r="D13" i="3"/>
  <c r="B12" i="3"/>
  <c r="D12" i="3"/>
  <c r="J12" i="3"/>
  <c r="E12" i="3"/>
  <c r="P13" i="3" l="1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E41" i="3"/>
  <c r="C41" i="3"/>
  <c r="I41" i="3"/>
  <c r="H41" i="3"/>
  <c r="O41" i="3"/>
  <c r="N41" i="3"/>
  <c r="M41" i="3"/>
  <c r="L41" i="3"/>
  <c r="G41" i="3"/>
  <c r="D41" i="3" l="1"/>
  <c r="P12" i="3"/>
  <c r="P41" i="3" s="1"/>
  <c r="K41" i="3"/>
  <c r="B41" i="3"/>
  <c r="J41" i="3"/>
  <c r="F41" i="3"/>
  <c r="P12" i="2"/>
  <c r="B42" i="2" l="1"/>
  <c r="D42" i="2"/>
  <c r="B41" i="2"/>
  <c r="J41" i="2"/>
  <c r="C41" i="2"/>
  <c r="D41" i="2"/>
  <c r="E41" i="2"/>
  <c r="B40" i="2"/>
  <c r="E40" i="2"/>
  <c r="J40" i="2"/>
  <c r="D40" i="2"/>
  <c r="F37" i="2"/>
  <c r="H37" i="2"/>
  <c r="B37" i="2"/>
  <c r="K37" i="2"/>
  <c r="D37" i="2"/>
  <c r="B36" i="2"/>
  <c r="H36" i="2"/>
  <c r="F36" i="2"/>
  <c r="D36" i="2"/>
  <c r="C35" i="2"/>
  <c r="J35" i="2"/>
  <c r="I35" i="2"/>
  <c r="J34" i="2"/>
  <c r="C34" i="2"/>
  <c r="B34" i="2"/>
  <c r="B30" i="2"/>
  <c r="E30" i="2"/>
  <c r="J30" i="2"/>
  <c r="B29" i="2"/>
  <c r="F29" i="2"/>
  <c r="K29" i="2"/>
  <c r="B28" i="2"/>
  <c r="C27" i="2"/>
  <c r="I27" i="2"/>
  <c r="J27" i="2"/>
  <c r="K27" i="2"/>
  <c r="B26" i="2"/>
  <c r="K26" i="2"/>
  <c r="D26" i="2"/>
  <c r="B23" i="2"/>
  <c r="G26" i="2"/>
  <c r="F23" i="2"/>
  <c r="H23" i="2"/>
  <c r="K23" i="2"/>
  <c r="D23" i="2"/>
  <c r="P23" i="2" s="1"/>
  <c r="B22" i="2"/>
  <c r="B21" i="2"/>
  <c r="P21" i="2" s="1"/>
  <c r="J20" i="2"/>
  <c r="C20" i="2"/>
  <c r="B20" i="2"/>
  <c r="B19" i="2"/>
  <c r="P19" i="2" s="1"/>
  <c r="P22" i="2"/>
  <c r="P24" i="2"/>
  <c r="P25" i="2"/>
  <c r="P28" i="2"/>
  <c r="P29" i="2"/>
  <c r="P31" i="2"/>
  <c r="P32" i="2"/>
  <c r="P33" i="2"/>
  <c r="P34" i="2"/>
  <c r="P38" i="2"/>
  <c r="P39" i="2"/>
  <c r="P14" i="2"/>
  <c r="P15" i="2"/>
  <c r="P16" i="2"/>
  <c r="P17" i="2"/>
  <c r="P18" i="2"/>
  <c r="B16" i="2"/>
  <c r="C16" i="2"/>
  <c r="B14" i="2"/>
  <c r="J14" i="2"/>
  <c r="C14" i="2"/>
  <c r="P13" i="2"/>
  <c r="P42" i="2" l="1"/>
  <c r="P41" i="2"/>
  <c r="P40" i="2"/>
  <c r="P37" i="2"/>
  <c r="P36" i="2"/>
  <c r="P35" i="2"/>
  <c r="P30" i="2"/>
  <c r="P27" i="2"/>
  <c r="P26" i="2"/>
  <c r="P20" i="2"/>
  <c r="G40" i="13"/>
  <c r="C40" i="13"/>
  <c r="I40" i="13"/>
  <c r="K40" i="13"/>
  <c r="F40" i="13"/>
  <c r="E40" i="13"/>
  <c r="C37" i="13"/>
  <c r="K37" i="13"/>
  <c r="F37" i="13"/>
  <c r="E37" i="13"/>
  <c r="B33" i="13"/>
  <c r="D33" i="13"/>
  <c r="K33" i="13"/>
  <c r="J33" i="13"/>
  <c r="G32" i="13"/>
  <c r="G31" i="13"/>
  <c r="B31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2" i="13"/>
  <c r="P33" i="13"/>
  <c r="P34" i="13"/>
  <c r="P35" i="13"/>
  <c r="P36" i="13"/>
  <c r="P37" i="13"/>
  <c r="P38" i="13"/>
  <c r="P39" i="13"/>
  <c r="P41" i="13"/>
  <c r="P42" i="13"/>
  <c r="P12" i="13"/>
  <c r="D31" i="13"/>
  <c r="C31" i="13"/>
  <c r="K31" i="13"/>
  <c r="K30" i="13"/>
  <c r="E30" i="13"/>
  <c r="G29" i="13"/>
  <c r="K18" i="13"/>
  <c r="C18" i="13"/>
  <c r="D18" i="13"/>
  <c r="L18" i="13"/>
  <c r="C15" i="13"/>
  <c r="K15" i="13"/>
  <c r="P40" i="13" l="1"/>
  <c r="P31" i="13"/>
  <c r="K41" i="12"/>
  <c r="O41" i="12" s="1"/>
  <c r="K40" i="12"/>
  <c r="D40" i="12"/>
  <c r="E40" i="12"/>
  <c r="J40" i="12"/>
  <c r="K39" i="12"/>
  <c r="H38" i="12"/>
  <c r="F38" i="12"/>
  <c r="O38" i="12" s="1"/>
  <c r="B38" i="12"/>
  <c r="F35" i="12"/>
  <c r="C35" i="12"/>
  <c r="I35" i="12"/>
  <c r="J35" i="12"/>
  <c r="I33" i="12"/>
  <c r="J33" i="12"/>
  <c r="B33" i="12"/>
  <c r="C33" i="12"/>
  <c r="E31" i="12"/>
  <c r="J31" i="12"/>
  <c r="B28" i="12"/>
  <c r="F28" i="12"/>
  <c r="H28" i="12"/>
  <c r="C25" i="12"/>
  <c r="J25" i="12"/>
  <c r="K25" i="12"/>
  <c r="F24" i="12"/>
  <c r="B24" i="12"/>
  <c r="H24" i="12"/>
  <c r="J24" i="12"/>
  <c r="C24" i="12"/>
  <c r="K24" i="12"/>
  <c r="B18" i="12"/>
  <c r="I18" i="12"/>
  <c r="C18" i="12"/>
  <c r="J18" i="12"/>
  <c r="B12" i="12"/>
  <c r="J12" i="12"/>
  <c r="K12" i="12"/>
  <c r="O39" i="12"/>
  <c r="O13" i="12"/>
  <c r="O14" i="12"/>
  <c r="O15" i="12"/>
  <c r="O16" i="12"/>
  <c r="O17" i="12"/>
  <c r="O19" i="12"/>
  <c r="O20" i="12"/>
  <c r="O21" i="12"/>
  <c r="O22" i="12"/>
  <c r="O23" i="12"/>
  <c r="O25" i="12"/>
  <c r="O26" i="12"/>
  <c r="O27" i="12"/>
  <c r="O28" i="12"/>
  <c r="O29" i="12"/>
  <c r="O30" i="12"/>
  <c r="O40" i="12" l="1"/>
  <c r="O24" i="12"/>
  <c r="O18" i="12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27" i="11"/>
  <c r="O28" i="11"/>
  <c r="K42" i="11" l="1"/>
  <c r="E43" i="11"/>
  <c r="E42" i="11"/>
  <c r="J43" i="11"/>
  <c r="J42" i="11"/>
  <c r="B41" i="11"/>
  <c r="C41" i="11"/>
  <c r="F38" i="11"/>
  <c r="K38" i="11"/>
  <c r="D37" i="11"/>
  <c r="G37" i="11"/>
  <c r="K37" i="11"/>
  <c r="E37" i="11"/>
  <c r="J37" i="11"/>
  <c r="D36" i="11"/>
  <c r="E36" i="11"/>
  <c r="J36" i="11"/>
  <c r="B35" i="11"/>
  <c r="C35" i="11"/>
  <c r="D35" i="11"/>
  <c r="I35" i="11"/>
  <c r="J35" i="11"/>
  <c r="K35" i="11"/>
  <c r="J34" i="11"/>
  <c r="C34" i="11"/>
  <c r="I34" i="11"/>
  <c r="B34" i="11"/>
  <c r="K29" i="11"/>
  <c r="C24" i="11"/>
  <c r="B24" i="11"/>
  <c r="O24" i="11" s="1"/>
  <c r="J24" i="11"/>
  <c r="K24" i="11"/>
  <c r="K22" i="11"/>
  <c r="D20" i="11"/>
  <c r="G20" i="11"/>
  <c r="E20" i="11"/>
  <c r="J20" i="11"/>
  <c r="B15" i="11"/>
  <c r="J15" i="11"/>
  <c r="C15" i="11"/>
  <c r="J14" i="11"/>
  <c r="B14" i="11"/>
  <c r="C14" i="11"/>
  <c r="B13" i="11"/>
  <c r="J13" i="11"/>
  <c r="O13" i="11" s="1"/>
  <c r="K13" i="11"/>
  <c r="O16" i="11"/>
  <c r="O17" i="11"/>
  <c r="O18" i="11"/>
  <c r="O19" i="11"/>
  <c r="O20" i="11"/>
  <c r="O21" i="11"/>
  <c r="O22" i="11"/>
  <c r="O23" i="11"/>
  <c r="O25" i="11"/>
  <c r="O26" i="11"/>
  <c r="O29" i="11"/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C29" i="10"/>
  <c r="B26" i="10"/>
  <c r="P26" i="10" s="1"/>
  <c r="K25" i="10"/>
  <c r="D24" i="10"/>
  <c r="E24" i="10"/>
  <c r="J24" i="10"/>
  <c r="L24" i="10"/>
  <c r="B23" i="10"/>
  <c r="I23" i="10"/>
  <c r="C23" i="10"/>
  <c r="P23" i="10" s="1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2" i="10"/>
  <c r="P14" i="10"/>
  <c r="P17" i="10"/>
  <c r="P18" i="10"/>
  <c r="P20" i="10"/>
  <c r="P21" i="10"/>
  <c r="P22" i="10"/>
  <c r="P25" i="10"/>
  <c r="P27" i="10"/>
  <c r="P28" i="10"/>
  <c r="P29" i="10" l="1"/>
  <c r="P40" i="10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J43" i="13" l="1"/>
  <c r="O43" i="13"/>
  <c r="N43" i="13"/>
  <c r="M43" i="13"/>
  <c r="F43" i="13" l="1"/>
  <c r="G43" i="13"/>
  <c r="C43" i="13"/>
  <c r="K43" i="13"/>
  <c r="H43" i="13"/>
  <c r="D43" i="13"/>
  <c r="L43" i="13"/>
  <c r="I43" i="13"/>
  <c r="E43" i="13"/>
  <c r="P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K43" i="2" l="1"/>
  <c r="F43" i="2"/>
  <c r="G43" i="2"/>
  <c r="H43" i="2"/>
  <c r="I43" i="2"/>
  <c r="L43" i="2"/>
  <c r="M43" i="2"/>
  <c r="N43" i="2"/>
  <c r="O43" i="2"/>
  <c r="E43" i="2" l="1"/>
  <c r="J43" i="2" l="1"/>
  <c r="C43" i="2"/>
  <c r="D43" i="2"/>
  <c r="P43" i="2" l="1"/>
  <c r="B43" i="2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H43" i="11"/>
  <c r="O15" i="11"/>
  <c r="O43" i="10"/>
  <c r="N43" i="10"/>
  <c r="M43" i="10"/>
  <c r="I43" i="10"/>
  <c r="H43" i="10"/>
  <c r="G43" i="10"/>
  <c r="F43" i="10"/>
  <c r="E43" i="10"/>
  <c r="D43" i="10"/>
  <c r="C43" i="10"/>
  <c r="P36" i="10"/>
  <c r="P35" i="10"/>
  <c r="P34" i="10"/>
  <c r="P33" i="10"/>
  <c r="P32" i="10"/>
  <c r="P31" i="10"/>
  <c r="P30" i="10"/>
  <c r="P13" i="10"/>
  <c r="J43" i="10"/>
  <c r="B43" i="10"/>
  <c r="D21" i="1"/>
  <c r="D20" i="1"/>
  <c r="D17" i="1"/>
  <c r="D15" i="1"/>
  <c r="D14" i="1"/>
  <c r="D8" i="1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D13" i="1"/>
  <c r="D16" i="1"/>
  <c r="D12" i="1"/>
  <c r="B11" i="1"/>
  <c r="B13" i="1"/>
  <c r="B23" i="1"/>
  <c r="B9" i="1"/>
  <c r="L43" i="10"/>
  <c r="B43" i="11"/>
  <c r="D10" i="1"/>
  <c r="D19" i="1"/>
  <c r="K43" i="11"/>
  <c r="O35" i="12"/>
  <c r="O12" i="11"/>
  <c r="O12" i="12"/>
  <c r="B7" i="1"/>
  <c r="P12" i="10"/>
  <c r="P43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<sst xmlns="http://schemas.openxmlformats.org/spreadsheetml/2006/main" count="251" uniqueCount="43">
  <si>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</si>
  <si>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</si>
  <si>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</si>
  <si>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</si>
  <si>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</si>
  <si>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</si>
  <si>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</si>
  <si>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</si>
  <si>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</si>
  <si>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</si>
  <si>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</si>
  <si>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</si>
  <si>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</si>
  <si>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</si>
  <si>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</si>
  <si>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</si>
  <si>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anos anteriores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</si>
  <si>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</si>
  <si>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</si>
  <si>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</si>
  <si>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</si>
  <si>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</si>
  <si>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</si>
  <si>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</si>
  <si>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</si>
  <si>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</si>
  <si>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</si>
  <si>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</si>
  <si>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</si>
  <si>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</si>
  <si>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</si>
  <si>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</si>
  <si>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</si>
  <si>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</si>
  <si>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</si>
  <si>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</si>
  <si>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</si>
  <si>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</si>
  <si>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</si>
  <si>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</si>
  <si>
    <t>Anuidade PF 2024</t>
  </si>
  <si>
    <t>Anuidade PJ 2024</t>
  </si>
  <si>
    <t xml:space="preserve"> Macapá-AP, 05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</si>
</sst>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164" fontId="1" fillId="0" borderId="5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51" t="s">
        <v>0</v>
      </c>
      <c r="B2" s="51"/>
      <c r="C2" s="51" t="s">
        <v>0</v>
      </c>
      <c r="D2" s="51"/>
      <c r="E2" s="51" t="s">
        <v>0</v>
      </c>
      <c r="F2" s="51"/>
      <c r="G2" s="51" t="s">
        <v>0</v>
      </c>
      <c r="H2" s="51"/>
      <c r="I2" s="51" t="s">
        <v>0</v>
      </c>
      <c r="J2" s="51"/>
      <c r="K2" s="51" t="s">
        <v>0</v>
      </c>
      <c r="L2" s="51"/>
      <c r="M2" s="51" t="s">
        <v>0</v>
      </c>
      <c r="N2" s="51"/>
      <c r="O2" s="51" t="s">
        <v>0</v>
      </c>
      <c r="P2" s="51"/>
      <c r="Q2" s="51" t="s">
        <v>0</v>
      </c>
      <c r="R2" s="51"/>
      <c r="S2" s="51" t="s">
        <v>0</v>
      </c>
      <c r="T2" s="51"/>
      <c r="U2" s="51" t="s">
        <v>0</v>
      </c>
      <c r="V2" s="51"/>
      <c r="W2" s="51" t="s">
        <v>0</v>
      </c>
      <c r="X2" s="51"/>
    </row>
    <row r="3" spans="1:25" x14ac:dyDescent="0.25">
      <c r="A3" s="52">
        <v>43831</v>
      </c>
      <c r="B3" s="52"/>
      <c r="C3" s="52">
        <v>43862</v>
      </c>
      <c r="D3" s="52"/>
      <c r="E3" s="52">
        <v>43891</v>
      </c>
      <c r="F3" s="52"/>
      <c r="G3" s="52">
        <v>43922</v>
      </c>
      <c r="H3" s="52"/>
      <c r="I3" s="52">
        <v>43952</v>
      </c>
      <c r="J3" s="52"/>
      <c r="K3" s="52">
        <v>43983</v>
      </c>
      <c r="L3" s="52"/>
      <c r="M3" s="52">
        <v>44013</v>
      </c>
      <c r="N3" s="52"/>
      <c r="O3" s="52">
        <v>44044</v>
      </c>
      <c r="P3" s="52"/>
      <c r="Q3" s="52">
        <v>44075</v>
      </c>
      <c r="R3" s="52"/>
      <c r="S3" s="52">
        <v>44105</v>
      </c>
      <c r="T3" s="52"/>
      <c r="U3" s="52">
        <v>44136</v>
      </c>
      <c r="V3" s="52"/>
      <c r="W3" s="52">
        <v>44166</v>
      </c>
      <c r="X3" s="52"/>
      <c r="Y3" s="3"/>
    </row>
    <row r="4" spans="1:25" ht="15" customHeight="1" x14ac:dyDescent="0.25">
      <c r="A4" s="49"/>
      <c r="B4" s="50" t="s">
        <v>1</v>
      </c>
      <c r="C4" s="49"/>
      <c r="D4" s="50" t="s">
        <v>1</v>
      </c>
      <c r="E4" s="49"/>
      <c r="F4" s="50" t="s">
        <v>1</v>
      </c>
      <c r="G4" s="49"/>
      <c r="H4" s="50" t="s">
        <v>1</v>
      </c>
      <c r="I4" s="49"/>
      <c r="J4" s="50" t="s">
        <v>1</v>
      </c>
      <c r="K4" s="49"/>
      <c r="L4" s="50" t="s">
        <v>1</v>
      </c>
      <c r="M4" s="49"/>
      <c r="N4" s="50" t="s">
        <v>1</v>
      </c>
      <c r="O4" s="49"/>
      <c r="P4" s="50" t="s">
        <v>1</v>
      </c>
      <c r="Q4" s="49"/>
      <c r="R4" s="50" t="s">
        <v>1</v>
      </c>
      <c r="S4" s="49"/>
      <c r="T4" s="50" t="s">
        <v>1</v>
      </c>
      <c r="U4" s="49"/>
      <c r="V4" s="50" t="s">
        <v>1</v>
      </c>
      <c r="W4" s="49"/>
      <c r="X4" s="50" t="s">
        <v>1</v>
      </c>
      <c r="Y4" s="3"/>
    </row>
    <row r="5" spans="1:25" x14ac:dyDescent="0.25">
      <c r="A5" s="49"/>
      <c r="B5" s="50"/>
      <c r="C5" s="49"/>
      <c r="D5" s="50"/>
      <c r="E5" s="49"/>
      <c r="F5" s="50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50"/>
      <c r="W5" s="49"/>
      <c r="X5" s="50"/>
      <c r="Y5" s="3"/>
    </row>
    <row r="6" spans="1:25" x14ac:dyDescent="0.25">
      <c r="A6" s="49"/>
      <c r="B6" s="50"/>
      <c r="C6" s="49"/>
      <c r="D6" s="50"/>
      <c r="E6" s="49"/>
      <c r="F6" s="50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  <c r="S6" s="49"/>
      <c r="T6" s="50"/>
      <c r="U6" s="49"/>
      <c r="V6" s="50"/>
      <c r="W6" s="49"/>
      <c r="X6" s="50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11904.050000000003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25%'!P14+'[1]JAN 25%'!P13</f>
        <v>801.41000000000008</v>
      </c>
      <c r="C8" s="7">
        <v>44229</v>
      </c>
      <c r="D8" s="5">
        <f>'FEV 25% '!P13+'[1]FEV 25% '!P13</f>
        <v>397.23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25%'!P15+'[1]JAN 25%'!P14</f>
        <v>125.73</v>
      </c>
      <c r="C9" s="7">
        <v>44230</v>
      </c>
      <c r="D9" s="5">
        <f>'FEV 25% '!P14+'[1]FEV 25% '!P14</f>
        <v>65.75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25%'!P16+'[1]JAN 25%'!P15</f>
        <v>725.37000000000012</v>
      </c>
      <c r="C10" s="7">
        <v>44599</v>
      </c>
      <c r="D10" s="5">
        <f>'FEV 25% '!P15+'[1]FEV 25% '!P15</f>
        <v>29.990000000000002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25%'!P17+'[1]JAN 25%'!P16</f>
        <v>110.5</v>
      </c>
      <c r="C11" s="7">
        <v>44600</v>
      </c>
      <c r="D11" s="5">
        <f>'FEV 25% '!P16+'[1]FEV 25% '!P16</f>
        <v>444.92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328.47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734.58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25%'!P20+'[1]JAN 25%'!P19</f>
        <v>439.77</v>
      </c>
      <c r="C14" s="7">
        <v>44607</v>
      </c>
      <c r="D14" s="5">
        <f>'FEV 25% '!P19+'[1]FEV 25% '!P19</f>
        <v>565.41999999999996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25%'!P21+'[1]JAN 25%'!P20</f>
        <v>1045.72</v>
      </c>
      <c r="C15" s="7">
        <v>44608</v>
      </c>
      <c r="D15" s="5">
        <f>'FEV 25% '!P20+'[1]FEV 25% '!P20</f>
        <v>790.57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25%'!P22+'[1]JAN 25%'!P21</f>
        <v>434.63000000000005</v>
      </c>
      <c r="C16" s="7">
        <v>44609</v>
      </c>
      <c r="D16" s="5">
        <f>'FEV 25% '!P21+'[1]FEV 25% '!P21</f>
        <v>76.160000000000025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25%'!P23+'[1]JAN 25%'!P22</f>
        <v>852.5200000000001</v>
      </c>
      <c r="C17" s="7">
        <v>44610</v>
      </c>
      <c r="D17" s="5">
        <f>'FEV 25% '!P22+'[1]FEV 25% '!P22</f>
        <v>232.78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25%'!P27+'[1]JAN 25%'!P23</f>
        <v>92.98</v>
      </c>
      <c r="C18" s="7">
        <v>44613</v>
      </c>
      <c r="D18" s="5">
        <f>'FEV 25% '!P24+'[1]FEV 25% '!P23</f>
        <v>92.25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25%'!P28+'[1]JAN 25%'!P24</f>
        <v>577.43000000000006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25%'!P29+'[1]JAN 25%'!P25</f>
        <v>488.57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25%'!P30+'[1]JAN 25%'!P26</f>
        <v>480.64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O2:P2"/>
    <mergeCell ref="Q2:R2"/>
    <mergeCell ref="S2:T2"/>
    <mergeCell ref="A2:B2"/>
    <mergeCell ref="C2:D2"/>
    <mergeCell ref="E2:F2"/>
    <mergeCell ref="G2:H2"/>
    <mergeCell ref="I2:J2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U4:U6"/>
    <mergeCell ref="V4:V6"/>
    <mergeCell ref="W4:W6"/>
    <mergeCell ref="X4:X6"/>
    <mergeCell ref="P4:P6"/>
    <mergeCell ref="Q4:Q6"/>
    <mergeCell ref="R4:R6"/>
    <mergeCell ref="S4:S6"/>
    <mergeCell ref="T4:T6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13" sqref="A13"/>
      <selection pane="bottomRight" activeCell="O29" sqref="O27:O29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2" t="s">
        <v>33</v>
      </c>
    </row>
    <row r="7" spans="1:15" ht="12" x14ac:dyDescent="0.2">
      <c r="A7" s="57">
        <v>45200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3" t="s">
        <v>25</v>
      </c>
      <c r="M9" s="53" t="s">
        <v>26</v>
      </c>
      <c r="N9" s="53" t="s">
        <v>27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>
        <f>51.26</f>
        <v>51.26</v>
      </c>
      <c r="C13" s="16"/>
      <c r="D13" s="16"/>
      <c r="E13" s="16"/>
      <c r="F13" s="16"/>
      <c r="G13" s="16"/>
      <c r="H13" s="16"/>
      <c r="I13" s="16"/>
      <c r="J13" s="16">
        <f>0.62</f>
        <v>0.62</v>
      </c>
      <c r="K13" s="16">
        <f>38</f>
        <v>38</v>
      </c>
      <c r="L13" s="17"/>
      <c r="M13" s="17"/>
      <c r="N13" s="17"/>
      <c r="O13" s="5">
        <f>SUM(B13:K13)</f>
        <v>89.88</v>
      </c>
    </row>
    <row r="14" spans="1:15" ht="24" customHeight="1" x14ac:dyDescent="0.2">
      <c r="A14" s="15">
        <v>45202</v>
      </c>
      <c r="B14" s="16">
        <f>15.63</f>
        <v>15.63</v>
      </c>
      <c r="C14" s="16">
        <f>12.14+4.27+12.5+11.48+10.03</f>
        <v>50.42</v>
      </c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7"/>
      <c r="M14" s="17"/>
      <c r="N14" s="17"/>
      <c r="O14" s="5">
        <f>SUM(B14:K14)</f>
        <v>66.67</v>
      </c>
    </row>
    <row r="15" spans="1:15" ht="24" customHeight="1" x14ac:dyDescent="0.2">
      <c r="A15" s="15">
        <v>45203</v>
      </c>
      <c r="B15" s="16">
        <f>185.72+185.66</f>
        <v>371.38</v>
      </c>
      <c r="C15" s="16">
        <f>36.12</f>
        <v>36.119999999999997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>SUM(B15:K15)</f>
        <v>408.12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ref="O16:O33" si="0">SUM(B16:K16)</f>
        <v>0</v>
      </c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>
        <f t="shared" si="0"/>
        <v>0</v>
      </c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4" customHeight="1" x14ac:dyDescent="0.2">
      <c r="A20" s="15">
        <v>45208</v>
      </c>
      <c r="B20" s="16"/>
      <c r="C20" s="16"/>
      <c r="D20" s="16">
        <f>47.99+410.5</f>
        <v>458.49</v>
      </c>
      <c r="E20" s="16">
        <f>49.36</f>
        <v>49.36</v>
      </c>
      <c r="F20" s="16"/>
      <c r="G20" s="16">
        <f>61.75</f>
        <v>61.75</v>
      </c>
      <c r="H20" s="16"/>
      <c r="I20" s="16"/>
      <c r="J20" s="16">
        <f>0.62</f>
        <v>0.62</v>
      </c>
      <c r="K20" s="16"/>
      <c r="L20" s="17"/>
      <c r="M20" s="17"/>
      <c r="N20" s="17"/>
      <c r="O20" s="5">
        <f t="shared" si="0"/>
        <v>570.22</v>
      </c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>
        <f>38</f>
        <v>38</v>
      </c>
      <c r="L22" s="17"/>
      <c r="M22" s="17"/>
      <c r="N22" s="17"/>
      <c r="O22" s="5">
        <f t="shared" si="0"/>
        <v>38</v>
      </c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45212</v>
      </c>
      <c r="B24" s="16">
        <f>77.24</f>
        <v>77.239999999999995</v>
      </c>
      <c r="C24" s="16">
        <f>70.83</f>
        <v>70.83</v>
      </c>
      <c r="D24" s="16"/>
      <c r="E24" s="16"/>
      <c r="F24" s="16"/>
      <c r="G24" s="16"/>
      <c r="H24" s="16"/>
      <c r="I24" s="16"/>
      <c r="J24" s="16">
        <f>0.62</f>
        <v>0.62</v>
      </c>
      <c r="K24" s="16">
        <f>38</f>
        <v>38</v>
      </c>
      <c r="L24" s="17"/>
      <c r="M24" s="17"/>
      <c r="N24" s="17"/>
      <c r="O24" s="5">
        <f t="shared" si="0"/>
        <v>186.69</v>
      </c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>
        <f t="shared" si="0"/>
        <v>0</v>
      </c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>
        <f>38</f>
        <v>38</v>
      </c>
      <c r="L29" s="17"/>
      <c r="M29" s="17"/>
      <c r="N29" s="17"/>
      <c r="O29" s="5">
        <f t="shared" si="0"/>
        <v>38</v>
      </c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45222</v>
      </c>
      <c r="B34" s="16">
        <f>13.12</f>
        <v>13.12</v>
      </c>
      <c r="C34" s="16">
        <f>12.55</f>
        <v>12.55</v>
      </c>
      <c r="D34" s="16"/>
      <c r="E34" s="16"/>
      <c r="F34" s="16"/>
      <c r="G34" s="16"/>
      <c r="H34" s="16"/>
      <c r="I34" s="16">
        <f>0.59</f>
        <v>0.59</v>
      </c>
      <c r="J34" s="16">
        <f>0.62</f>
        <v>0.62</v>
      </c>
      <c r="K34" s="16"/>
      <c r="L34" s="17"/>
      <c r="M34" s="17"/>
      <c r="N34" s="17"/>
      <c r="O34" s="5">
        <f t="shared" ref="O34:O42" si="1">SUM(B34:K34)</f>
        <v>26.880000000000003</v>
      </c>
    </row>
    <row r="35" spans="1:15" ht="24" customHeight="1" x14ac:dyDescent="0.2">
      <c r="A35" s="15">
        <v>45223</v>
      </c>
      <c r="B35" s="16">
        <f>185.66</f>
        <v>185.66</v>
      </c>
      <c r="C35" s="16">
        <f>1.24+8.89+9.69+7.6+2.48+6.81+7.92</f>
        <v>44.63</v>
      </c>
      <c r="D35" s="16">
        <f>518.46</f>
        <v>518.46</v>
      </c>
      <c r="E35" s="16"/>
      <c r="F35" s="16"/>
      <c r="G35" s="16"/>
      <c r="H35" s="16"/>
      <c r="I35" s="16">
        <f>2.79+1.88</f>
        <v>4.67</v>
      </c>
      <c r="J35" s="16">
        <f>0.62</f>
        <v>0.62</v>
      </c>
      <c r="K35" s="16">
        <f>38+38</f>
        <v>76</v>
      </c>
      <c r="L35" s="17"/>
      <c r="M35" s="17"/>
      <c r="N35" s="17"/>
      <c r="O35" s="5">
        <f t="shared" si="1"/>
        <v>830.04</v>
      </c>
    </row>
    <row r="36" spans="1:15" ht="24" customHeight="1" x14ac:dyDescent="0.2">
      <c r="A36" s="15">
        <v>45224</v>
      </c>
      <c r="B36" s="16"/>
      <c r="C36" s="16"/>
      <c r="D36" s="16">
        <f>18.86</f>
        <v>18.86</v>
      </c>
      <c r="E36" s="16">
        <f>13.32+25.96+24.34+23.46+21.37+18.4</f>
        <v>126.85000000000002</v>
      </c>
      <c r="F36" s="16"/>
      <c r="G36" s="16"/>
      <c r="H36" s="16"/>
      <c r="I36" s="16"/>
      <c r="J36" s="16">
        <f>0.62</f>
        <v>0.62</v>
      </c>
      <c r="K36" s="16"/>
      <c r="L36" s="17"/>
      <c r="M36" s="17"/>
      <c r="N36" s="17"/>
      <c r="O36" s="5">
        <f t="shared" si="1"/>
        <v>146.33000000000004</v>
      </c>
    </row>
    <row r="37" spans="1:15" ht="24" customHeight="1" x14ac:dyDescent="0.2">
      <c r="A37" s="15">
        <v>45225</v>
      </c>
      <c r="B37" s="16"/>
      <c r="C37" s="16"/>
      <c r="D37" s="16">
        <f>96.93+147</f>
        <v>243.93</v>
      </c>
      <c r="E37" s="16">
        <f>99.69+66.95+71.67+59.85</f>
        <v>298.16000000000003</v>
      </c>
      <c r="F37" s="16"/>
      <c r="G37" s="16">
        <f>61.75</f>
        <v>61.75</v>
      </c>
      <c r="H37" s="16"/>
      <c r="I37" s="16"/>
      <c r="J37" s="16">
        <f>0.62</f>
        <v>0.62</v>
      </c>
      <c r="K37" s="16">
        <f>38</f>
        <v>38</v>
      </c>
      <c r="L37" s="17"/>
      <c r="M37" s="17"/>
      <c r="N37" s="17"/>
      <c r="O37" s="5">
        <f t="shared" si="1"/>
        <v>642.46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>
        <f>20.5</f>
        <v>20.5</v>
      </c>
      <c r="G38" s="16"/>
      <c r="H38" s="16"/>
      <c r="I38" s="16"/>
      <c r="J38" s="16"/>
      <c r="K38" s="16">
        <f>38</f>
        <v>38</v>
      </c>
      <c r="L38" s="17"/>
      <c r="M38" s="17"/>
      <c r="N38" s="17"/>
      <c r="O38" s="5">
        <f t="shared" si="1"/>
        <v>58.5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1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1"/>
        <v>0</v>
      </c>
    </row>
    <row r="41" spans="1:15" ht="24" customHeight="1" x14ac:dyDescent="0.2">
      <c r="A41" s="15">
        <v>45229</v>
      </c>
      <c r="B41" s="16">
        <f>115.44+187.42</f>
        <v>302.86</v>
      </c>
      <c r="C41" s="16">
        <f>16.06+78.43+31.62+79.26</f>
        <v>205.37</v>
      </c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1"/>
        <v>508.23</v>
      </c>
    </row>
    <row r="42" spans="1:15" ht="24" customHeight="1" x14ac:dyDescent="0.2">
      <c r="A42" s="15">
        <v>45230</v>
      </c>
      <c r="B42" s="16"/>
      <c r="C42" s="16"/>
      <c r="D42" s="16"/>
      <c r="E42" s="16">
        <f>21.37+18.4</f>
        <v>39.769999999999996</v>
      </c>
      <c r="F42" s="16"/>
      <c r="G42" s="16"/>
      <c r="H42" s="16"/>
      <c r="I42" s="16"/>
      <c r="J42" s="16">
        <f>0.62</f>
        <v>0.62</v>
      </c>
      <c r="K42" s="16">
        <f>38</f>
        <v>38</v>
      </c>
      <c r="L42" s="17"/>
      <c r="M42" s="17"/>
      <c r="N42" s="17"/>
      <c r="O42" s="5">
        <f t="shared" si="1"/>
        <v>78.389999999999986</v>
      </c>
    </row>
    <row r="43" spans="1:15" ht="24" customHeight="1" x14ac:dyDescent="0.2">
      <c r="A43" s="29" t="s">
        <v>2</v>
      </c>
      <c r="B43" s="40">
        <f t="shared" ref="B43:O43" si="2">SUM(B12:B42)</f>
        <v>1017.15</v>
      </c>
      <c r="C43" s="21">
        <f t="shared" si="2"/>
        <v>419.92</v>
      </c>
      <c r="D43" s="21">
        <f t="shared" si="2"/>
        <v>1239.74</v>
      </c>
      <c r="E43" s="21">
        <f>SUM(E12:E42)</f>
        <v>514.1400000000001</v>
      </c>
      <c r="F43" s="21">
        <f t="shared" si="2"/>
        <v>20.5</v>
      </c>
      <c r="G43" s="21">
        <f t="shared" si="2"/>
        <v>123.5</v>
      </c>
      <c r="H43" s="21">
        <f t="shared" si="2"/>
        <v>0</v>
      </c>
      <c r="I43" s="21">
        <f t="shared" si="2"/>
        <v>5.26</v>
      </c>
      <c r="J43" s="21">
        <f>SUM(J12:J42)</f>
        <v>6.2</v>
      </c>
      <c r="K43" s="21">
        <f t="shared" si="2"/>
        <v>342</v>
      </c>
      <c r="L43" s="21">
        <f t="shared" si="2"/>
        <v>0</v>
      </c>
      <c r="M43" s="21">
        <f t="shared" si="2"/>
        <v>0</v>
      </c>
      <c r="N43" s="22">
        <f t="shared" si="2"/>
        <v>0</v>
      </c>
      <c r="O43" s="5">
        <f t="shared" si="2"/>
        <v>3688.41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5"/>
      <c r="M44" s="55"/>
      <c r="N44" s="55"/>
      <c r="O44" s="55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  <row r="46" spans="1:15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  <ignoredErrors>
    <ignoredError sqref="O39:O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2" t="s">
        <v>33</v>
      </c>
    </row>
    <row r="7" spans="1:15" ht="12" x14ac:dyDescent="0.2">
      <c r="A7" s="57">
        <v>45231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3" t="s">
        <v>25</v>
      </c>
      <c r="M9" s="53" t="s">
        <v>26</v>
      </c>
      <c r="N9" s="53" t="s">
        <v>27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44501</v>
      </c>
      <c r="B12" s="16">
        <f>51.61</f>
        <v>51.61</v>
      </c>
      <c r="C12" s="16"/>
      <c r="D12" s="16"/>
      <c r="E12" s="16"/>
      <c r="F12" s="16"/>
      <c r="G12" s="16"/>
      <c r="H12" s="16"/>
      <c r="I12" s="16"/>
      <c r="J12" s="16">
        <f>0.62</f>
        <v>0.62</v>
      </c>
      <c r="K12" s="16">
        <f>38</f>
        <v>38</v>
      </c>
      <c r="L12" s="17"/>
      <c r="M12" s="17"/>
      <c r="N12" s="17"/>
      <c r="O12" s="5">
        <f>SUM(B12:K12)</f>
        <v>90.22999999999999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 t="shared" ref="O13:O30" si="0">SUM(B13:K13)</f>
        <v>0</v>
      </c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 t="shared" si="0"/>
        <v>0</v>
      </c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 t="shared" si="0"/>
        <v>0</v>
      </c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3.25" customHeight="1" x14ac:dyDescent="0.2">
      <c r="A18" s="15">
        <v>44507</v>
      </c>
      <c r="B18" s="16">
        <f>14.52+14.52+13.23</f>
        <v>42.269999999999996</v>
      </c>
      <c r="C18" s="16">
        <f>14.92+14.92+12.64</f>
        <v>42.480000000000004</v>
      </c>
      <c r="D18" s="16"/>
      <c r="E18" s="16"/>
      <c r="F18" s="16"/>
      <c r="G18" s="16"/>
      <c r="H18" s="16"/>
      <c r="I18" s="16">
        <f>0.6</f>
        <v>0.6</v>
      </c>
      <c r="J18" s="16">
        <f>0.62+0.62+0.62</f>
        <v>1.8599999999999999</v>
      </c>
      <c r="K18" s="16"/>
      <c r="L18" s="17"/>
      <c r="M18" s="17"/>
      <c r="N18" s="17"/>
      <c r="O18" s="5">
        <f t="shared" si="0"/>
        <v>87.21</v>
      </c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>
        <f t="shared" si="0"/>
        <v>0</v>
      </c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>
        <f t="shared" si="0"/>
        <v>0</v>
      </c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>
        <f t="shared" si="0"/>
        <v>0</v>
      </c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>
        <f t="shared" si="0"/>
        <v>0</v>
      </c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>
        <f t="shared" si="0"/>
        <v>0</v>
      </c>
    </row>
    <row r="24" spans="1:15" ht="23.25" customHeight="1" x14ac:dyDescent="0.2">
      <c r="A24" s="15">
        <v>44513</v>
      </c>
      <c r="B24" s="16">
        <f>77.39+73.5</f>
        <v>150.88999999999999</v>
      </c>
      <c r="C24" s="16">
        <f>70.97</f>
        <v>70.97</v>
      </c>
      <c r="D24" s="16"/>
      <c r="E24" s="16"/>
      <c r="F24" s="16">
        <f>20.5</f>
        <v>20.5</v>
      </c>
      <c r="G24" s="16"/>
      <c r="H24" s="16">
        <f>20.5</f>
        <v>20.5</v>
      </c>
      <c r="I24" s="16"/>
      <c r="J24" s="16">
        <f>0.62</f>
        <v>0.62</v>
      </c>
      <c r="K24" s="16">
        <f>38+38</f>
        <v>76</v>
      </c>
      <c r="L24" s="17"/>
      <c r="M24" s="17"/>
      <c r="N24" s="17"/>
      <c r="O24" s="5">
        <f t="shared" si="0"/>
        <v>339.48</v>
      </c>
    </row>
    <row r="25" spans="1:15" ht="23.25" customHeight="1" x14ac:dyDescent="0.2">
      <c r="A25" s="15">
        <v>44514</v>
      </c>
      <c r="B25" s="16"/>
      <c r="C25" s="16">
        <f>121.56</f>
        <v>121.56</v>
      </c>
      <c r="D25" s="16"/>
      <c r="E25" s="16"/>
      <c r="F25" s="16"/>
      <c r="G25" s="16"/>
      <c r="H25" s="16"/>
      <c r="I25" s="16"/>
      <c r="J25" s="16">
        <f>0.62</f>
        <v>0.62</v>
      </c>
      <c r="K25" s="16">
        <f>38+38</f>
        <v>76</v>
      </c>
      <c r="L25" s="17"/>
      <c r="M25" s="17"/>
      <c r="N25" s="17"/>
      <c r="O25" s="5">
        <f t="shared" si="0"/>
        <v>198.18</v>
      </c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>
        <f t="shared" si="0"/>
        <v>0</v>
      </c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>
        <f t="shared" si="0"/>
        <v>0</v>
      </c>
    </row>
    <row r="28" spans="1:15" ht="23.25" customHeight="1" x14ac:dyDescent="0.2">
      <c r="A28" s="15">
        <v>44517</v>
      </c>
      <c r="B28" s="16">
        <f>73.5</f>
        <v>73.5</v>
      </c>
      <c r="C28" s="16"/>
      <c r="D28" s="16"/>
      <c r="E28" s="16"/>
      <c r="F28" s="16">
        <f>20.5</f>
        <v>20.5</v>
      </c>
      <c r="G28" s="16"/>
      <c r="H28" s="16">
        <f>20.5</f>
        <v>20.5</v>
      </c>
      <c r="I28" s="16"/>
      <c r="J28" s="16"/>
      <c r="K28" s="16"/>
      <c r="L28" s="17"/>
      <c r="M28" s="17"/>
      <c r="N28" s="17"/>
      <c r="O28" s="5">
        <f t="shared" si="0"/>
        <v>114.5</v>
      </c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>
        <f t="shared" si="0"/>
        <v>0</v>
      </c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>
        <f t="shared" si="0"/>
        <v>0</v>
      </c>
    </row>
    <row r="31" spans="1:15" ht="23.25" customHeight="1" x14ac:dyDescent="0.2">
      <c r="A31" s="15">
        <v>44520</v>
      </c>
      <c r="B31" s="16"/>
      <c r="C31" s="16"/>
      <c r="D31" s="16">
        <v>48.67</v>
      </c>
      <c r="E31" s="16">
        <f>49.98</f>
        <v>49.98</v>
      </c>
      <c r="F31" s="16"/>
      <c r="G31" s="16"/>
      <c r="H31" s="16"/>
      <c r="I31" s="16"/>
      <c r="J31" s="16">
        <f>0.62</f>
        <v>0.62</v>
      </c>
      <c r="K31" s="16"/>
      <c r="L31" s="17"/>
      <c r="M31" s="17"/>
      <c r="N31" s="17"/>
      <c r="O31" s="5">
        <f t="shared" ref="O31:O41" si="1">SUM(B31:K31)</f>
        <v>99.27000000000001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1"/>
        <v>0</v>
      </c>
    </row>
    <row r="33" spans="1:15" ht="24" customHeight="1" x14ac:dyDescent="0.2">
      <c r="A33" s="15">
        <v>44522</v>
      </c>
      <c r="B33" s="16">
        <f>13.33</f>
        <v>13.33</v>
      </c>
      <c r="C33" s="16">
        <f>12.74</f>
        <v>12.74</v>
      </c>
      <c r="D33" s="16"/>
      <c r="E33" s="16"/>
      <c r="F33" s="16"/>
      <c r="G33" s="16"/>
      <c r="H33" s="16"/>
      <c r="I33" s="16">
        <f>0.6</f>
        <v>0.6</v>
      </c>
      <c r="J33" s="16">
        <f>0.62</f>
        <v>0.62</v>
      </c>
      <c r="K33" s="16">
        <v>38</v>
      </c>
      <c r="L33" s="17"/>
      <c r="M33" s="17"/>
      <c r="N33" s="17"/>
      <c r="O33" s="5">
        <f t="shared" si="1"/>
        <v>65.290000000000006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1"/>
        <v>0</v>
      </c>
    </row>
    <row r="35" spans="1:15" ht="24" customHeight="1" x14ac:dyDescent="0.2">
      <c r="A35" s="15">
        <v>44524</v>
      </c>
      <c r="B35" s="16"/>
      <c r="C35" s="16">
        <f>2.5+6.85+7.98+7.66+9.77+8.98+1.25</f>
        <v>44.989999999999995</v>
      </c>
      <c r="D35" s="16"/>
      <c r="E35" s="16"/>
      <c r="F35" s="16">
        <f>20.5</f>
        <v>20.5</v>
      </c>
      <c r="G35" s="16"/>
      <c r="H35" s="16"/>
      <c r="I35" s="16">
        <f>1.9+2.81</f>
        <v>4.71</v>
      </c>
      <c r="J35" s="16">
        <f>0.62</f>
        <v>0.62</v>
      </c>
      <c r="K35" s="16"/>
      <c r="L35" s="17"/>
      <c r="M35" s="17"/>
      <c r="N35" s="17"/>
      <c r="O35" s="5">
        <f t="shared" si="1"/>
        <v>70.819999999999993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1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1"/>
        <v>0</v>
      </c>
    </row>
    <row r="38" spans="1:15" ht="24" customHeight="1" x14ac:dyDescent="0.2">
      <c r="A38" s="15">
        <v>44527</v>
      </c>
      <c r="B38" s="16">
        <f>73.5</f>
        <v>73.5</v>
      </c>
      <c r="C38" s="16"/>
      <c r="D38" s="16"/>
      <c r="E38" s="16"/>
      <c r="F38" s="16">
        <f>20.5</f>
        <v>20.5</v>
      </c>
      <c r="G38" s="16"/>
      <c r="H38" s="16">
        <f>20.5</f>
        <v>20.5</v>
      </c>
      <c r="I38" s="16"/>
      <c r="J38" s="16"/>
      <c r="K38" s="16"/>
      <c r="L38" s="17"/>
      <c r="M38" s="17"/>
      <c r="N38" s="17"/>
      <c r="O38" s="5">
        <f t="shared" si="1"/>
        <v>114.5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>
        <f>38</f>
        <v>38</v>
      </c>
      <c r="L39" s="17"/>
      <c r="M39" s="17"/>
      <c r="N39" s="17"/>
      <c r="O39" s="5">
        <f t="shared" si="1"/>
        <v>38</v>
      </c>
    </row>
    <row r="40" spans="1:15" ht="24" customHeight="1" x14ac:dyDescent="0.2">
      <c r="A40" s="15">
        <v>44529</v>
      </c>
      <c r="B40" s="16"/>
      <c r="C40" s="16"/>
      <c r="D40" s="16">
        <f>19.04</f>
        <v>19.04</v>
      </c>
      <c r="E40" s="16">
        <f>21.55+18.57+13.4+26.14+24.52+23.64+21.55+18.57</f>
        <v>167.94</v>
      </c>
      <c r="F40" s="16"/>
      <c r="G40" s="16"/>
      <c r="H40" s="16"/>
      <c r="I40" s="16"/>
      <c r="J40" s="16">
        <f>0.62+0.62</f>
        <v>1.24</v>
      </c>
      <c r="K40" s="16">
        <f>38</f>
        <v>38</v>
      </c>
      <c r="L40" s="17"/>
      <c r="M40" s="17"/>
      <c r="N40" s="17"/>
      <c r="O40" s="5">
        <f t="shared" si="1"/>
        <v>226.22</v>
      </c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>38</f>
        <v>38</v>
      </c>
      <c r="L41" s="17"/>
      <c r="M41" s="17"/>
      <c r="N41" s="17"/>
      <c r="O41" s="5">
        <f t="shared" si="1"/>
        <v>38</v>
      </c>
    </row>
    <row r="42" spans="1:15" ht="24" customHeight="1" x14ac:dyDescent="0.2">
      <c r="A42" s="29" t="s">
        <v>2</v>
      </c>
      <c r="B42" s="40">
        <f t="shared" ref="B42:O42" si="2">SUM(B12:B41)</f>
        <v>405.09999999999997</v>
      </c>
      <c r="C42" s="21">
        <f t="shared" si="2"/>
        <v>292.74</v>
      </c>
      <c r="D42" s="21">
        <f t="shared" si="2"/>
        <v>67.710000000000008</v>
      </c>
      <c r="E42" s="21">
        <f t="shared" si="2"/>
        <v>217.92</v>
      </c>
      <c r="F42" s="21">
        <f t="shared" si="2"/>
        <v>82</v>
      </c>
      <c r="G42" s="21">
        <f t="shared" si="2"/>
        <v>0</v>
      </c>
      <c r="H42" s="21">
        <f t="shared" si="2"/>
        <v>61.5</v>
      </c>
      <c r="I42" s="21">
        <f t="shared" si="2"/>
        <v>5.91</v>
      </c>
      <c r="J42" s="21">
        <f t="shared" si="2"/>
        <v>6.82</v>
      </c>
      <c r="K42" s="21">
        <f t="shared" si="2"/>
        <v>342</v>
      </c>
      <c r="L42" s="21">
        <f t="shared" si="2"/>
        <v>0</v>
      </c>
      <c r="M42" s="21">
        <f t="shared" si="2"/>
        <v>0</v>
      </c>
      <c r="N42" s="22">
        <f t="shared" si="2"/>
        <v>0</v>
      </c>
      <c r="O42" s="5">
        <f t="shared" si="2"/>
        <v>1481.7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5"/>
      <c r="M43" s="55"/>
      <c r="N43" s="55"/>
      <c r="O43" s="55"/>
    </row>
    <row r="44" spans="1:15" ht="24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</sheetData>
  <mergeCells count="18">
    <mergeCell ref="A7:B7"/>
    <mergeCell ref="A9:A11"/>
    <mergeCell ref="B9:B11"/>
    <mergeCell ref="C9:C11"/>
    <mergeCell ref="D9:D11"/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scale="80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N39" sqref="N39"/>
    </sheetView>
  </sheetViews>
  <sheetFormatPr defaultColWidth="9.140625" defaultRowHeight="11.25" x14ac:dyDescent="0.2"/>
  <cols>
    <col min="1" max="1" width="7.42578125" style="2" customWidth="1"/>
    <col min="2" max="2" width="8.140625" style="2" customWidth="1"/>
    <col min="3" max="3" width="7.85546875" style="2" customWidth="1"/>
    <col min="4" max="4" width="8.42578125" style="2" customWidth="1"/>
    <col min="5" max="5" width="9" style="2" customWidth="1"/>
    <col min="6" max="6" width="8.85546875" style="2" customWidth="1"/>
    <col min="7" max="7" width="8.5703125" style="2" customWidth="1"/>
    <col min="8" max="8" width="6.42578125" style="2" customWidth="1"/>
    <col min="9" max="10" width="8" style="2" customWidth="1"/>
    <col min="11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2" t="s">
        <v>33</v>
      </c>
      <c r="B5" s="42"/>
    </row>
    <row r="7" spans="1:16" ht="12" x14ac:dyDescent="0.2">
      <c r="A7" s="57">
        <v>45261</v>
      </c>
      <c r="B7" s="57"/>
      <c r="C7" s="57"/>
      <c r="E7" s="14"/>
      <c r="F7" s="14"/>
      <c r="G7" s="14"/>
      <c r="H7" s="14"/>
      <c r="I7" s="14"/>
    </row>
    <row r="9" spans="1:16" ht="15" customHeight="1" x14ac:dyDescent="0.2">
      <c r="A9" s="58"/>
      <c r="B9" s="58" t="s">
        <v>40</v>
      </c>
      <c r="C9" s="56" t="s">
        <v>28</v>
      </c>
      <c r="D9" s="56" t="s">
        <v>16</v>
      </c>
      <c r="E9" s="56" t="s">
        <v>29</v>
      </c>
      <c r="F9" s="56" t="s">
        <v>17</v>
      </c>
      <c r="G9" s="56" t="s">
        <v>18</v>
      </c>
      <c r="H9" s="56" t="s">
        <v>19</v>
      </c>
      <c r="I9" s="56" t="s">
        <v>20</v>
      </c>
      <c r="J9" s="56" t="s">
        <v>21</v>
      </c>
      <c r="K9" s="56" t="s">
        <v>22</v>
      </c>
      <c r="L9" s="56" t="s">
        <v>23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6" ht="11.25" customHeight="1" x14ac:dyDescent="0.2">
      <c r="A10" s="58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6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44531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>SUM(B12:L12)</f>
        <v>0</v>
      </c>
    </row>
    <row r="13" spans="1:16" ht="23.25" customHeight="1" x14ac:dyDescent="0.2">
      <c r="A13" s="15">
        <v>44532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</row>
    <row r="14" spans="1:16" ht="23.25" customHeight="1" x14ac:dyDescent="0.2">
      <c r="A14" s="15">
        <v>44533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3.25" customHeight="1" x14ac:dyDescent="0.2">
      <c r="A15" s="15">
        <v>44534</v>
      </c>
      <c r="B15" s="15"/>
      <c r="C15" s="16">
        <f>51.7</f>
        <v>51.7</v>
      </c>
      <c r="D15" s="16"/>
      <c r="E15" s="16"/>
      <c r="F15" s="16"/>
      <c r="G15" s="16"/>
      <c r="H15" s="16"/>
      <c r="I15" s="16"/>
      <c r="J15" s="16"/>
      <c r="K15" s="16">
        <f>0.62</f>
        <v>0.62</v>
      </c>
      <c r="L15" s="16"/>
      <c r="M15" s="17"/>
      <c r="N15" s="17"/>
      <c r="O15" s="17"/>
      <c r="P15" s="5">
        <f t="shared" si="0"/>
        <v>52.32</v>
      </c>
    </row>
    <row r="16" spans="1:16" ht="23.25" customHeight="1" x14ac:dyDescent="0.2">
      <c r="A16" s="15">
        <v>44535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5">
        <f t="shared" si="0"/>
        <v>0</v>
      </c>
    </row>
    <row r="17" spans="1:16" ht="23.25" customHeight="1" x14ac:dyDescent="0.2">
      <c r="A17" s="15">
        <v>44536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3.25" customHeight="1" x14ac:dyDescent="0.2">
      <c r="A18" s="15">
        <v>44537</v>
      </c>
      <c r="B18" s="16"/>
      <c r="C18" s="16">
        <f>118.24</f>
        <v>118.24</v>
      </c>
      <c r="D18" s="16">
        <f>78.86</f>
        <v>78.86</v>
      </c>
      <c r="E18" s="16"/>
      <c r="F18" s="16"/>
      <c r="G18" s="16"/>
      <c r="H18" s="16"/>
      <c r="I18" s="16"/>
      <c r="J18" s="16"/>
      <c r="K18" s="16">
        <f>0.62</f>
        <v>0.62</v>
      </c>
      <c r="L18" s="16">
        <f>38</f>
        <v>38</v>
      </c>
      <c r="M18" s="17"/>
      <c r="N18" s="17"/>
      <c r="O18" s="17"/>
      <c r="P18" s="5">
        <f t="shared" si="0"/>
        <v>235.72</v>
      </c>
    </row>
    <row r="19" spans="1:16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5">
        <f t="shared" si="0"/>
        <v>0</v>
      </c>
    </row>
    <row r="20" spans="1:16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5">
        <f t="shared" si="0"/>
        <v>0</v>
      </c>
    </row>
    <row r="21" spans="1:16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5">
        <f t="shared" si="0"/>
        <v>0</v>
      </c>
    </row>
    <row r="22" spans="1:16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5">
        <f t="shared" si="0"/>
        <v>0</v>
      </c>
    </row>
    <row r="23" spans="1:16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5">
        <f t="shared" si="0"/>
        <v>0</v>
      </c>
    </row>
    <row r="24" spans="1:16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>
        <v>28.75</v>
      </c>
      <c r="M24" s="17"/>
      <c r="N24" s="17"/>
      <c r="O24" s="17"/>
      <c r="P24" s="5">
        <f t="shared" si="0"/>
        <v>28.75</v>
      </c>
    </row>
    <row r="25" spans="1:16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5">
        <f t="shared" si="0"/>
        <v>0</v>
      </c>
    </row>
    <row r="26" spans="1:16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5">
        <f t="shared" si="0"/>
        <v>0</v>
      </c>
    </row>
    <row r="27" spans="1:16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5">
        <f t="shared" si="0"/>
        <v>0</v>
      </c>
    </row>
    <row r="28" spans="1:16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5">
        <f t="shared" si="0"/>
        <v>0</v>
      </c>
    </row>
    <row r="29" spans="1:16" ht="23.25" customHeight="1" x14ac:dyDescent="0.2">
      <c r="A29" s="15">
        <v>44548</v>
      </c>
      <c r="B29" s="16"/>
      <c r="C29" s="16"/>
      <c r="D29" s="16"/>
      <c r="E29" s="16"/>
      <c r="F29" s="16"/>
      <c r="G29" s="16">
        <f>20.5+20.5</f>
        <v>41</v>
      </c>
      <c r="H29" s="16"/>
      <c r="I29" s="16"/>
      <c r="J29" s="16"/>
      <c r="K29" s="16"/>
      <c r="L29" s="16"/>
      <c r="M29" s="17"/>
      <c r="N29" s="17"/>
      <c r="O29" s="17"/>
      <c r="P29" s="5">
        <f t="shared" si="0"/>
        <v>41</v>
      </c>
    </row>
    <row r="30" spans="1:16" ht="23.25" customHeight="1" x14ac:dyDescent="0.2">
      <c r="A30" s="15">
        <v>44549</v>
      </c>
      <c r="B30" s="16"/>
      <c r="C30" s="16"/>
      <c r="D30" s="16"/>
      <c r="E30" s="16">
        <f>72.19</f>
        <v>72.19</v>
      </c>
      <c r="F30" s="16"/>
      <c r="G30" s="16"/>
      <c r="H30" s="16"/>
      <c r="I30" s="16"/>
      <c r="J30" s="16"/>
      <c r="K30" s="16">
        <f>0.62</f>
        <v>0.62</v>
      </c>
      <c r="L30" s="16"/>
      <c r="M30" s="17"/>
      <c r="N30" s="17"/>
      <c r="O30" s="17"/>
      <c r="P30" s="5">
        <f t="shared" si="0"/>
        <v>72.81</v>
      </c>
    </row>
    <row r="31" spans="1:16" ht="23.25" customHeight="1" x14ac:dyDescent="0.2">
      <c r="A31" s="15">
        <v>44550</v>
      </c>
      <c r="B31" s="16">
        <f>128.88</f>
        <v>128.88</v>
      </c>
      <c r="C31" s="16">
        <f>31.24</f>
        <v>31.24</v>
      </c>
      <c r="D31" s="16">
        <f>12.12+19.99+19.93</f>
        <v>52.04</v>
      </c>
      <c r="E31" s="16"/>
      <c r="F31" s="16"/>
      <c r="G31" s="16">
        <f>20.5</f>
        <v>20.5</v>
      </c>
      <c r="H31" s="16"/>
      <c r="I31" s="16"/>
      <c r="J31" s="16"/>
      <c r="K31" s="16">
        <f>0.63</f>
        <v>0.63</v>
      </c>
      <c r="L31" s="16"/>
      <c r="M31" s="17"/>
      <c r="N31" s="17"/>
      <c r="O31" s="17"/>
      <c r="P31" s="5">
        <f t="shared" si="0"/>
        <v>233.29</v>
      </c>
    </row>
    <row r="32" spans="1:16" ht="24" customHeight="1" x14ac:dyDescent="0.2">
      <c r="A32" s="15">
        <v>44551</v>
      </c>
      <c r="B32" s="16"/>
      <c r="C32" s="16"/>
      <c r="D32" s="16"/>
      <c r="E32" s="16"/>
      <c r="F32" s="16"/>
      <c r="G32" s="16">
        <f>20.5+20.5</f>
        <v>41</v>
      </c>
      <c r="H32" s="16"/>
      <c r="I32" s="16"/>
      <c r="J32" s="16"/>
      <c r="K32" s="16"/>
      <c r="L32" s="16"/>
      <c r="M32" s="17"/>
      <c r="N32" s="17"/>
      <c r="O32" s="17"/>
      <c r="P32" s="5">
        <f t="shared" si="0"/>
        <v>41</v>
      </c>
    </row>
    <row r="33" spans="1:16" ht="24" customHeight="1" x14ac:dyDescent="0.2">
      <c r="A33" s="15">
        <v>44552</v>
      </c>
      <c r="B33" s="16">
        <f>128.88+128.88</f>
        <v>257.76</v>
      </c>
      <c r="C33" s="16"/>
      <c r="D33" s="16">
        <f>1.27+9.06+9.86+7.72+6.9+2.51+8.04</f>
        <v>45.359999999999992</v>
      </c>
      <c r="E33" s="16"/>
      <c r="F33" s="16"/>
      <c r="G33" s="16"/>
      <c r="H33" s="16"/>
      <c r="I33" s="16"/>
      <c r="J33" s="16">
        <f>2.83+1.91</f>
        <v>4.74</v>
      </c>
      <c r="K33" s="16">
        <f>0.62</f>
        <v>0.62</v>
      </c>
      <c r="L33" s="16"/>
      <c r="M33" s="17"/>
      <c r="N33" s="17"/>
      <c r="O33" s="17"/>
      <c r="P33" s="5">
        <f t="shared" si="0"/>
        <v>308.48</v>
      </c>
    </row>
    <row r="34" spans="1:16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5">
        <f t="shared" si="0"/>
        <v>0</v>
      </c>
    </row>
    <row r="35" spans="1:16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5">
        <f t="shared" si="0"/>
        <v>0</v>
      </c>
    </row>
    <row r="36" spans="1:16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5">
        <f t="shared" si="0"/>
        <v>0</v>
      </c>
    </row>
    <row r="37" spans="1:16" ht="24" customHeight="1" x14ac:dyDescent="0.2">
      <c r="A37" s="15">
        <v>44556</v>
      </c>
      <c r="B37" s="16"/>
      <c r="C37" s="16">
        <f>47.3</f>
        <v>47.3</v>
      </c>
      <c r="D37" s="16"/>
      <c r="E37" s="16">
        <f>49.35</f>
        <v>49.35</v>
      </c>
      <c r="F37" s="16">
        <f>50.59</f>
        <v>50.59</v>
      </c>
      <c r="G37" s="16"/>
      <c r="H37" s="16"/>
      <c r="I37" s="16"/>
      <c r="J37" s="16"/>
      <c r="K37" s="16">
        <f>0.62+0.62</f>
        <v>1.24</v>
      </c>
      <c r="L37" s="16"/>
      <c r="M37" s="17"/>
      <c r="N37" s="17"/>
      <c r="O37" s="17"/>
      <c r="P37" s="5">
        <f t="shared" si="0"/>
        <v>148.48000000000002</v>
      </c>
    </row>
    <row r="38" spans="1:16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5">
        <f t="shared" si="0"/>
        <v>0</v>
      </c>
    </row>
    <row r="39" spans="1:16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5">
        <f t="shared" si="0"/>
        <v>0</v>
      </c>
    </row>
    <row r="40" spans="1:16" ht="24" customHeight="1" x14ac:dyDescent="0.2">
      <c r="A40" s="15">
        <v>44559</v>
      </c>
      <c r="B40" s="16"/>
      <c r="C40" s="16">
        <f>73.5</f>
        <v>73.5</v>
      </c>
      <c r="D40" s="16"/>
      <c r="E40" s="16">
        <f>19.22</f>
        <v>19.22</v>
      </c>
      <c r="F40" s="16">
        <f>18.74+21.72+13.5+18.74+21.72+23.82+24.7+26.33</f>
        <v>169.26999999999998</v>
      </c>
      <c r="G40" s="16">
        <f>20.5</f>
        <v>20.5</v>
      </c>
      <c r="H40" s="16"/>
      <c r="I40" s="16">
        <f>20.5</f>
        <v>20.5</v>
      </c>
      <c r="J40" s="16"/>
      <c r="K40" s="16">
        <f>0.62+0.62</f>
        <v>1.24</v>
      </c>
      <c r="L40" s="16"/>
      <c r="M40" s="17"/>
      <c r="N40" s="17"/>
      <c r="O40" s="17"/>
      <c r="P40" s="5">
        <f t="shared" si="0"/>
        <v>304.23</v>
      </c>
    </row>
    <row r="41" spans="1:16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5">
        <f t="shared" si="0"/>
        <v>0</v>
      </c>
    </row>
    <row r="42" spans="1:16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5">
        <f t="shared" si="0"/>
        <v>0</v>
      </c>
    </row>
    <row r="43" spans="1:16" ht="24" customHeight="1" x14ac:dyDescent="0.2">
      <c r="A43" s="29" t="s">
        <v>2</v>
      </c>
      <c r="B43" s="48"/>
      <c r="C43" s="40">
        <f t="shared" ref="C43:P43" si="1">SUM(C12:C42)</f>
        <v>321.98</v>
      </c>
      <c r="D43" s="21">
        <f t="shared" si="1"/>
        <v>176.26</v>
      </c>
      <c r="E43" s="21">
        <f t="shared" si="1"/>
        <v>140.76</v>
      </c>
      <c r="F43" s="21">
        <f t="shared" si="1"/>
        <v>219.85999999999999</v>
      </c>
      <c r="G43" s="21">
        <f t="shared" si="1"/>
        <v>123</v>
      </c>
      <c r="H43" s="21">
        <f t="shared" si="1"/>
        <v>0</v>
      </c>
      <c r="I43" s="21">
        <f t="shared" si="1"/>
        <v>20.5</v>
      </c>
      <c r="J43" s="21">
        <f t="shared" si="1"/>
        <v>4.74</v>
      </c>
      <c r="K43" s="21">
        <f t="shared" si="1"/>
        <v>5.59</v>
      </c>
      <c r="L43" s="21">
        <f t="shared" si="1"/>
        <v>66.75</v>
      </c>
      <c r="M43" s="21">
        <f t="shared" si="1"/>
        <v>0</v>
      </c>
      <c r="N43" s="21">
        <f t="shared" si="1"/>
        <v>0</v>
      </c>
      <c r="O43" s="22">
        <f t="shared" si="1"/>
        <v>0</v>
      </c>
      <c r="P43" s="5">
        <f t="shared" si="1"/>
        <v>1466.08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5"/>
      <c r="N44" s="55"/>
      <c r="O44" s="55"/>
      <c r="P44" s="55"/>
    </row>
    <row r="45" spans="1:16" ht="24" customHeight="1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6" ht="24" customHeight="1" x14ac:dyDescent="0.2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9">
    <mergeCell ref="M44:P44"/>
    <mergeCell ref="A9:A11"/>
    <mergeCell ref="E9:E11"/>
    <mergeCell ref="F9:F11"/>
    <mergeCell ref="G9:G11"/>
    <mergeCell ref="C9:C11"/>
    <mergeCell ref="A44:L44"/>
    <mergeCell ref="B9:B11"/>
    <mergeCell ref="A7:C7"/>
    <mergeCell ref="M9:M11"/>
    <mergeCell ref="N9:N11"/>
    <mergeCell ref="O9:O11"/>
    <mergeCell ref="P9:P11"/>
    <mergeCell ref="H9:H11"/>
    <mergeCell ref="I9:I11"/>
    <mergeCell ref="J9:J11"/>
    <mergeCell ref="K9:K11"/>
    <mergeCell ref="L9:L11"/>
    <mergeCell ref="D9:D11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46"/>
  <sheetViews>
    <sheetView topLeftCell="A4" zoomScaleNormal="100" workbookViewId="0">
      <pane xSplit="1" ySplit="8" topLeftCell="B27" activePane="bottomRight" state="frozen"/>
      <selection activeCell="A4" sqref="A4"/>
      <selection pane="topRight" activeCell="B4" sqref="B4"/>
      <selection pane="bottomLeft" activeCell="A25" sqref="A25"/>
      <selection pane="bottomRight" activeCell="P43" sqref="A4:P43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2" t="s">
        <v>33</v>
      </c>
    </row>
    <row r="7" spans="1:18" ht="12" x14ac:dyDescent="0.2">
      <c r="A7" s="57">
        <v>45292</v>
      </c>
      <c r="B7" s="57"/>
      <c r="D7" s="14"/>
      <c r="E7" s="14"/>
      <c r="F7" s="14"/>
      <c r="G7" s="14"/>
      <c r="H7" s="14"/>
    </row>
    <row r="9" spans="1:18" ht="15" customHeight="1" x14ac:dyDescent="0.2">
      <c r="A9" s="58"/>
      <c r="B9" s="56" t="s">
        <v>40</v>
      </c>
      <c r="C9" s="56" t="s">
        <v>16</v>
      </c>
      <c r="D9" s="56" t="s">
        <v>41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8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8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8" ht="24" customHeight="1" x14ac:dyDescent="0.2">
      <c r="A12" s="15">
        <v>44927</v>
      </c>
      <c r="B12" s="16"/>
      <c r="C12" s="16"/>
      <c r="D12" s="16"/>
      <c r="E12" s="16"/>
      <c r="F12" s="16"/>
      <c r="G12" s="16"/>
      <c r="H12" s="16"/>
      <c r="I12" s="16"/>
      <c r="K12" s="16"/>
      <c r="L12" s="16"/>
      <c r="M12" s="17"/>
      <c r="N12" s="17"/>
      <c r="O12" s="17"/>
      <c r="P12" s="5">
        <f>SUM(B12:L12)</f>
        <v>0</v>
      </c>
      <c r="R12" s="43"/>
    </row>
    <row r="13" spans="1:18" ht="24" customHeight="1" x14ac:dyDescent="0.2">
      <c r="A13" s="15">
        <v>44928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42" si="0">SUM(B13:L13)</f>
        <v>0</v>
      </c>
      <c r="R13" s="43"/>
    </row>
    <row r="14" spans="1:18" ht="24" customHeight="1" x14ac:dyDescent="0.2">
      <c r="A14" s="15">
        <v>44929</v>
      </c>
      <c r="B14" s="16">
        <f>128.88+128.88+128.88</f>
        <v>386.64</v>
      </c>
      <c r="C14" s="16">
        <f>51.8+7.22+11.86+11.89+18.58</f>
        <v>101.35</v>
      </c>
      <c r="D14" s="16"/>
      <c r="E14" s="16"/>
      <c r="F14" s="16"/>
      <c r="G14" s="16"/>
      <c r="H14" s="16"/>
      <c r="I14" s="16"/>
      <c r="J14" s="16">
        <f>0.62+0.62</f>
        <v>1.24</v>
      </c>
      <c r="K14" s="16"/>
      <c r="L14" s="16"/>
      <c r="M14" s="17"/>
      <c r="N14" s="17"/>
      <c r="O14" s="17"/>
      <c r="P14" s="5">
        <f t="shared" si="0"/>
        <v>489.23</v>
      </c>
      <c r="R14" s="43"/>
    </row>
    <row r="15" spans="1:18" ht="24" customHeight="1" x14ac:dyDescent="0.2">
      <c r="A15" s="15">
        <v>44930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8" ht="24" customHeight="1" x14ac:dyDescent="0.2">
      <c r="A16" s="15">
        <v>44931</v>
      </c>
      <c r="B16" s="18">
        <f>128.88+128.88+128.88+128.88+30.32</f>
        <v>545.84</v>
      </c>
      <c r="C16" s="18">
        <f>35.84</f>
        <v>35.840000000000003</v>
      </c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581.68000000000006</v>
      </c>
    </row>
    <row r="17" spans="1:16" ht="24" customHeight="1" x14ac:dyDescent="0.2">
      <c r="A17" s="15">
        <v>44932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44933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44934</v>
      </c>
      <c r="B19" s="18">
        <f>128.88</f>
        <v>128.88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128.88</v>
      </c>
    </row>
    <row r="20" spans="1:16" ht="24" customHeight="1" x14ac:dyDescent="0.2">
      <c r="A20" s="15">
        <v>44935</v>
      </c>
      <c r="B20" s="18">
        <f>64.44</f>
        <v>64.44</v>
      </c>
      <c r="C20" s="18">
        <f>151.15</f>
        <v>151.15</v>
      </c>
      <c r="D20" s="18"/>
      <c r="E20" s="18"/>
      <c r="F20" s="18"/>
      <c r="G20" s="18"/>
      <c r="H20" s="18"/>
      <c r="I20" s="18"/>
      <c r="J20" s="18">
        <f>0.62</f>
        <v>0.62</v>
      </c>
      <c r="K20" s="18"/>
      <c r="L20" s="18"/>
      <c r="M20" s="17"/>
      <c r="N20" s="17"/>
      <c r="O20" s="17"/>
      <c r="P20" s="5">
        <f t="shared" si="0"/>
        <v>216.21</v>
      </c>
    </row>
    <row r="21" spans="1:16" ht="24" customHeight="1" x14ac:dyDescent="0.2">
      <c r="A21" s="15">
        <v>44936</v>
      </c>
      <c r="B21" s="18">
        <f>128.88+128.88+30.32+128.88</f>
        <v>416.96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416.96</v>
      </c>
    </row>
    <row r="22" spans="1:16" ht="24" customHeight="1" x14ac:dyDescent="0.2">
      <c r="A22" s="15">
        <v>44937</v>
      </c>
      <c r="B22" s="18">
        <f>128.88</f>
        <v>128.88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128.88</v>
      </c>
    </row>
    <row r="23" spans="1:16" ht="24" customHeight="1" x14ac:dyDescent="0.2">
      <c r="A23" s="15">
        <v>44938</v>
      </c>
      <c r="B23" s="18">
        <f>75.81</f>
        <v>75.81</v>
      </c>
      <c r="C23" s="18"/>
      <c r="D23" s="18">
        <f>359.93</f>
        <v>359.93</v>
      </c>
      <c r="E23" s="18"/>
      <c r="F23" s="18">
        <f>21.12</f>
        <v>21.12</v>
      </c>
      <c r="G23" s="18"/>
      <c r="H23" s="18">
        <f>21.12</f>
        <v>21.12</v>
      </c>
      <c r="I23" s="18"/>
      <c r="J23" s="18"/>
      <c r="K23" s="18">
        <f>39.2</f>
        <v>39.200000000000003</v>
      </c>
      <c r="L23" s="18"/>
      <c r="M23" s="17"/>
      <c r="N23" s="17"/>
      <c r="O23" s="17"/>
      <c r="P23" s="5">
        <f t="shared" si="0"/>
        <v>517.18000000000006</v>
      </c>
    </row>
    <row r="24" spans="1:16" ht="24" customHeight="1" x14ac:dyDescent="0.2">
      <c r="A24" s="15">
        <v>44939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5">
        <v>44940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15">
        <v>44941</v>
      </c>
      <c r="B26" s="18">
        <f>30.32+128.88</f>
        <v>159.19999999999999</v>
      </c>
      <c r="C26" s="18"/>
      <c r="D26" s="18">
        <f>210.7</f>
        <v>210.7</v>
      </c>
      <c r="E26" s="18"/>
      <c r="F26" s="18"/>
      <c r="G26" s="18">
        <f>63.7</f>
        <v>63.7</v>
      </c>
      <c r="H26" s="18"/>
      <c r="I26" s="18"/>
      <c r="J26" s="18"/>
      <c r="K26" s="18">
        <f>39.2</f>
        <v>39.200000000000003</v>
      </c>
      <c r="L26" s="18"/>
      <c r="M26" s="17"/>
      <c r="N26" s="17"/>
      <c r="O26" s="17"/>
      <c r="P26" s="5">
        <f t="shared" si="0"/>
        <v>472.79999999999995</v>
      </c>
    </row>
    <row r="27" spans="1:16" ht="24" customHeight="1" x14ac:dyDescent="0.2">
      <c r="A27" s="15">
        <v>44942</v>
      </c>
      <c r="B27" s="18"/>
      <c r="C27" s="18">
        <f>12.83+13.43</f>
        <v>26.259999999999998</v>
      </c>
      <c r="D27" s="18"/>
      <c r="E27" s="18"/>
      <c r="F27" s="18"/>
      <c r="G27" s="18"/>
      <c r="H27" s="18"/>
      <c r="I27" s="18">
        <f>0.6</f>
        <v>0.6</v>
      </c>
      <c r="J27" s="18">
        <f>0.62</f>
        <v>0.62</v>
      </c>
      <c r="K27" s="18">
        <f>39.2</f>
        <v>39.200000000000003</v>
      </c>
      <c r="L27" s="18"/>
      <c r="M27" s="17"/>
      <c r="N27" s="17"/>
      <c r="O27" s="17"/>
      <c r="P27" s="5">
        <f t="shared" si="0"/>
        <v>66.680000000000007</v>
      </c>
    </row>
    <row r="28" spans="1:16" ht="24" customHeight="1" x14ac:dyDescent="0.2">
      <c r="A28" s="15">
        <v>44943</v>
      </c>
      <c r="B28" s="18">
        <f>128.88</f>
        <v>128.88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128.88</v>
      </c>
    </row>
    <row r="29" spans="1:16" ht="24" customHeight="1" x14ac:dyDescent="0.2">
      <c r="A29" s="15">
        <v>44944</v>
      </c>
      <c r="B29" s="18">
        <f>128.88+75.81</f>
        <v>204.69</v>
      </c>
      <c r="C29" s="18"/>
      <c r="D29" s="18"/>
      <c r="E29" s="18"/>
      <c r="F29" s="18">
        <f>21.12</f>
        <v>21.12</v>
      </c>
      <c r="G29" s="18"/>
      <c r="H29" s="18"/>
      <c r="I29" s="18"/>
      <c r="J29" s="18"/>
      <c r="K29" s="18">
        <f>39.2</f>
        <v>39.200000000000003</v>
      </c>
      <c r="L29" s="18"/>
      <c r="M29" s="17"/>
      <c r="N29" s="17"/>
      <c r="O29" s="17"/>
      <c r="P29" s="5">
        <f t="shared" si="0"/>
        <v>265.01</v>
      </c>
    </row>
    <row r="30" spans="1:16" ht="24" customHeight="1" x14ac:dyDescent="0.2">
      <c r="A30" s="15">
        <v>44945</v>
      </c>
      <c r="B30" s="18">
        <f>128.88</f>
        <v>128.88</v>
      </c>
      <c r="C30" s="18"/>
      <c r="D30" s="18"/>
      <c r="E30" s="18">
        <f>72.33</f>
        <v>72.33</v>
      </c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201.82999999999998</v>
      </c>
    </row>
    <row r="31" spans="1:16" ht="24" customHeight="1" x14ac:dyDescent="0.2">
      <c r="A31" s="15">
        <v>44946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7"/>
      <c r="N31" s="17"/>
      <c r="O31" s="17"/>
      <c r="P31" s="5">
        <f t="shared" si="0"/>
        <v>0</v>
      </c>
    </row>
    <row r="32" spans="1:16" ht="24" customHeight="1" x14ac:dyDescent="0.2">
      <c r="A32" s="15">
        <v>44947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0"/>
        <v>0</v>
      </c>
    </row>
    <row r="33" spans="1:19" ht="24" customHeight="1" x14ac:dyDescent="0.2">
      <c r="A33" s="15">
        <v>44948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7"/>
      <c r="N33" s="17"/>
      <c r="O33" s="17"/>
      <c r="P33" s="5">
        <f t="shared" si="0"/>
        <v>0</v>
      </c>
    </row>
    <row r="34" spans="1:19" ht="24" customHeight="1" x14ac:dyDescent="0.2">
      <c r="A34" s="15">
        <v>44949</v>
      </c>
      <c r="B34" s="18">
        <f>128.88</f>
        <v>128.88</v>
      </c>
      <c r="C34" s="18">
        <f>47.74</f>
        <v>47.74</v>
      </c>
      <c r="D34" s="18"/>
      <c r="E34" s="18"/>
      <c r="F34" s="18"/>
      <c r="G34" s="18"/>
      <c r="H34" s="18"/>
      <c r="I34" s="18"/>
      <c r="J34" s="18">
        <f>0.62</f>
        <v>0.62</v>
      </c>
      <c r="K34" s="18"/>
      <c r="L34" s="18"/>
      <c r="M34" s="17"/>
      <c r="N34" s="17"/>
      <c r="O34" s="17"/>
      <c r="P34" s="5">
        <f t="shared" si="0"/>
        <v>177.24</v>
      </c>
    </row>
    <row r="35" spans="1:19" ht="24" customHeight="1" x14ac:dyDescent="0.2">
      <c r="A35" s="15">
        <v>44950</v>
      </c>
      <c r="B35" s="18"/>
      <c r="C35" s="18">
        <f>151.15+136.91+137.94+138.35+134.58+135.38+9.94+1.28+7.78+8.09+6.94+2.52+9.14</f>
        <v>880.00000000000011</v>
      </c>
      <c r="D35" s="18"/>
      <c r="E35" s="18"/>
      <c r="F35" s="18"/>
      <c r="G35" s="18"/>
      <c r="H35" s="18"/>
      <c r="I35" s="18">
        <f>2.84+1.92</f>
        <v>4.76</v>
      </c>
      <c r="J35" s="18">
        <f>0.62+0.62</f>
        <v>1.24</v>
      </c>
      <c r="K35" s="18"/>
      <c r="L35" s="18"/>
      <c r="M35" s="17"/>
      <c r="N35" s="17"/>
      <c r="O35" s="17"/>
      <c r="P35" s="5">
        <f t="shared" si="0"/>
        <v>886.00000000000011</v>
      </c>
    </row>
    <row r="36" spans="1:19" ht="24" customHeight="1" x14ac:dyDescent="0.2">
      <c r="A36" s="15">
        <v>44951</v>
      </c>
      <c r="B36" s="18">
        <f>75.81</f>
        <v>75.81</v>
      </c>
      <c r="C36" s="18"/>
      <c r="D36" s="18">
        <f>359.93</f>
        <v>359.93</v>
      </c>
      <c r="E36" s="18"/>
      <c r="F36" s="18">
        <f>21.12</f>
        <v>21.12</v>
      </c>
      <c r="G36" s="18"/>
      <c r="H36" s="18">
        <f>21.12</f>
        <v>21.12</v>
      </c>
      <c r="I36" s="18"/>
      <c r="J36" s="18"/>
      <c r="K36" s="18"/>
      <c r="L36" s="18"/>
      <c r="M36" s="17"/>
      <c r="N36" s="17"/>
      <c r="O36" s="17"/>
      <c r="P36" s="5">
        <f t="shared" si="0"/>
        <v>477.98</v>
      </c>
    </row>
    <row r="37" spans="1:19" ht="24" customHeight="1" x14ac:dyDescent="0.2">
      <c r="A37" s="15">
        <v>44952</v>
      </c>
      <c r="B37" s="18">
        <f>75.81</f>
        <v>75.81</v>
      </c>
      <c r="C37" s="18"/>
      <c r="D37" s="18">
        <f>179.1</f>
        <v>179.1</v>
      </c>
      <c r="E37" s="18"/>
      <c r="F37" s="18">
        <f>21.12+21.12</f>
        <v>42.24</v>
      </c>
      <c r="G37" s="18"/>
      <c r="H37" s="18">
        <f>21.12</f>
        <v>21.12</v>
      </c>
      <c r="I37" s="18"/>
      <c r="J37" s="18"/>
      <c r="K37" s="18">
        <f>39.2</f>
        <v>39.200000000000003</v>
      </c>
      <c r="L37" s="18"/>
      <c r="M37" s="17"/>
      <c r="N37" s="17"/>
      <c r="O37" s="17"/>
      <c r="P37" s="5">
        <f t="shared" si="0"/>
        <v>357.46999999999997</v>
      </c>
    </row>
    <row r="38" spans="1:19" ht="24" customHeight="1" x14ac:dyDescent="0.2">
      <c r="A38" s="15">
        <v>44953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/>
      <c r="N38" s="17"/>
      <c r="O38" s="17"/>
      <c r="P38" s="5">
        <f t="shared" si="0"/>
        <v>0</v>
      </c>
    </row>
    <row r="39" spans="1:19" ht="24" customHeight="1" x14ac:dyDescent="0.2">
      <c r="A39" s="15">
        <v>44954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0"/>
        <v>0</v>
      </c>
    </row>
    <row r="40" spans="1:19" ht="24" customHeight="1" x14ac:dyDescent="0.2">
      <c r="A40" s="15">
        <v>44955</v>
      </c>
      <c r="B40" s="18">
        <f>128.88</f>
        <v>128.88</v>
      </c>
      <c r="C40" s="18"/>
      <c r="D40" s="18">
        <f>359.93+359.93</f>
        <v>719.86</v>
      </c>
      <c r="E40" s="18">
        <f>24.88+24.01+21.9+18.9+19.4+13.58+26.51</f>
        <v>149.18</v>
      </c>
      <c r="F40" s="18"/>
      <c r="G40" s="18"/>
      <c r="H40" s="18"/>
      <c r="I40" s="18"/>
      <c r="J40" s="18">
        <f>0.62</f>
        <v>0.62</v>
      </c>
      <c r="K40" s="18"/>
      <c r="L40" s="18"/>
      <c r="M40" s="17"/>
      <c r="N40" s="17"/>
      <c r="O40" s="17"/>
      <c r="P40" s="5">
        <f t="shared" si="0"/>
        <v>998.54000000000008</v>
      </c>
    </row>
    <row r="41" spans="1:19" ht="24" customHeight="1" x14ac:dyDescent="0.2">
      <c r="A41" s="15">
        <v>44956</v>
      </c>
      <c r="B41" s="18">
        <f>128.88+128.88+128.88+128.88+30.32</f>
        <v>545.84</v>
      </c>
      <c r="C41" s="18">
        <f>23.91+23.64+24.2+24.09</f>
        <v>95.84</v>
      </c>
      <c r="D41" s="18">
        <f>179.1+179.1</f>
        <v>358.2</v>
      </c>
      <c r="E41" s="18">
        <f>21.9+18.9</f>
        <v>40.799999999999997</v>
      </c>
      <c r="F41" s="18"/>
      <c r="G41" s="18"/>
      <c r="H41" s="18"/>
      <c r="I41" s="18"/>
      <c r="J41" s="18">
        <f>0.62+0.62</f>
        <v>1.24</v>
      </c>
      <c r="K41" s="18"/>
      <c r="L41" s="18"/>
      <c r="M41" s="17"/>
      <c r="N41" s="17"/>
      <c r="O41" s="17"/>
      <c r="P41" s="5">
        <f t="shared" si="0"/>
        <v>1041.92</v>
      </c>
    </row>
    <row r="42" spans="1:19" ht="24" customHeight="1" x14ac:dyDescent="0.2">
      <c r="A42" s="15">
        <v>44957</v>
      </c>
      <c r="B42" s="18">
        <f>128.88+30.32+128.88+30.32+30.32+128.88+128.88+128.88+128.88+30.32+128.88</f>
        <v>1023.44</v>
      </c>
      <c r="C42" s="18"/>
      <c r="D42" s="18">
        <f>359.93+84.69</f>
        <v>444.62</v>
      </c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0"/>
        <v>1468.06</v>
      </c>
    </row>
    <row r="43" spans="1:19" ht="24" customHeight="1" x14ac:dyDescent="0.2">
      <c r="A43" s="19" t="s">
        <v>2</v>
      </c>
      <c r="B43" s="20">
        <f t="shared" ref="B43:P43" si="1">SUM(B14:B42)</f>
        <v>4347.76</v>
      </c>
      <c r="C43" s="20">
        <f t="shared" si="1"/>
        <v>1338.18</v>
      </c>
      <c r="D43" s="20">
        <f t="shared" si="1"/>
        <v>2632.3399999999997</v>
      </c>
      <c r="E43" s="20">
        <f t="shared" si="1"/>
        <v>262.31</v>
      </c>
      <c r="F43" s="20">
        <f t="shared" si="1"/>
        <v>105.6</v>
      </c>
      <c r="G43" s="20">
        <f t="shared" si="1"/>
        <v>63.7</v>
      </c>
      <c r="H43" s="20">
        <f t="shared" si="1"/>
        <v>63.36</v>
      </c>
      <c r="I43" s="20">
        <f t="shared" si="1"/>
        <v>5.3599999999999994</v>
      </c>
      <c r="J43" s="20">
        <f t="shared" si="1"/>
        <v>6.82</v>
      </c>
      <c r="K43" s="20">
        <f t="shared" si="1"/>
        <v>196</v>
      </c>
      <c r="L43" s="20">
        <f t="shared" si="1"/>
        <v>0</v>
      </c>
      <c r="M43" s="20">
        <f t="shared" si="1"/>
        <v>0</v>
      </c>
      <c r="N43" s="20">
        <f t="shared" si="1"/>
        <v>0</v>
      </c>
      <c r="O43" s="20">
        <f t="shared" si="1"/>
        <v>0</v>
      </c>
      <c r="P43" s="23">
        <f t="shared" si="1"/>
        <v>9021.43</v>
      </c>
      <c r="S43" s="43"/>
    </row>
    <row r="44" spans="1:19" ht="12.75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55" t="s">
        <v>42</v>
      </c>
      <c r="M44" s="55"/>
      <c r="N44" s="55"/>
      <c r="O44" s="55"/>
      <c r="P44" s="55"/>
    </row>
    <row r="45" spans="1:19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9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44:P44"/>
    <mergeCell ref="J9:J11"/>
    <mergeCell ref="K9:K11"/>
    <mergeCell ref="L9:L11"/>
    <mergeCell ref="M9:M11"/>
    <mergeCell ref="N9:N11"/>
  </mergeCells>
  <printOptions horizontalCentered="1" verticalCentered="1"/>
  <pageMargins left="0.25" right="0.25" top="0.75" bottom="0.75" header="0.3" footer="0.3"/>
  <pageSetup paperSize="9" scale="7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tabSelected="1" topLeftCell="A4" zoomScaleNormal="100" workbookViewId="0">
      <pane xSplit="1" ySplit="8" topLeftCell="B25" activePane="bottomRight" state="frozen"/>
      <selection activeCell="A4" sqref="A4"/>
      <selection pane="topRight" activeCell="B4" sqref="B4"/>
      <selection pane="bottomLeft" activeCell="A25" sqref="A25"/>
      <selection pane="bottomRight" activeCell="J41" sqref="J4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2" t="s">
        <v>33</v>
      </c>
    </row>
    <row r="7" spans="1:17" ht="12" x14ac:dyDescent="0.2">
      <c r="A7" s="57">
        <v>45323</v>
      </c>
      <c r="B7" s="57"/>
      <c r="D7" s="14"/>
      <c r="E7" s="14"/>
      <c r="F7" s="14"/>
      <c r="G7" s="14"/>
      <c r="H7" s="14"/>
    </row>
    <row r="9" spans="1:17" ht="15" customHeight="1" x14ac:dyDescent="0.2">
      <c r="A9" s="58"/>
      <c r="B9" s="56" t="s">
        <v>40</v>
      </c>
      <c r="C9" s="56" t="s">
        <v>16</v>
      </c>
      <c r="D9" s="56" t="s">
        <v>41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7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7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7" ht="23.25" customHeight="1" x14ac:dyDescent="0.2">
      <c r="A12" s="15">
        <v>45323</v>
      </c>
      <c r="B12" s="16">
        <f>30.32+128.88+128.88+128.88+128.88+128.88+128.88+128.88+128.88+30.32+128.88+30.32+128.88+128.88+30.32+128.88+128.88+128.88+30.32+30.32+30.32+128.88+15.16+128.88+30.32+128.88+128.88+128.88+128.88+30.32+30.32+30.32+128.88+128.88+30.32+30.32</f>
        <v>3244.6800000000012</v>
      </c>
      <c r="C12" s="16"/>
      <c r="D12" s="16">
        <f>359.93+179.1+359.93+179.1+84.69+84.69+84.69+84.69+359.93+84.69</f>
        <v>1861.4400000000003</v>
      </c>
      <c r="E12" s="16">
        <f>49.7+50.9</f>
        <v>100.6</v>
      </c>
      <c r="F12" s="16"/>
      <c r="G12" s="16"/>
      <c r="H12" s="16"/>
      <c r="I12" s="16"/>
      <c r="J12" s="2">
        <f>0.62</f>
        <v>0.62</v>
      </c>
      <c r="K12" s="16"/>
      <c r="L12" s="16"/>
      <c r="M12" s="17"/>
      <c r="N12" s="17"/>
      <c r="O12" s="17"/>
      <c r="P12" s="5">
        <f>SUM(B12:L12)</f>
        <v>5207.340000000002</v>
      </c>
      <c r="Q12" s="28"/>
    </row>
    <row r="13" spans="1:17" ht="24" customHeight="1" x14ac:dyDescent="0.2">
      <c r="A13" s="15">
        <v>45324</v>
      </c>
      <c r="B13" s="16">
        <f>75.81</f>
        <v>75.81</v>
      </c>
      <c r="C13" s="16"/>
      <c r="D13" s="16">
        <f>189.63</f>
        <v>189.63</v>
      </c>
      <c r="E13" s="16"/>
      <c r="F13" s="16">
        <f>21.12</f>
        <v>21.12</v>
      </c>
      <c r="G13" s="16"/>
      <c r="H13" s="16">
        <f>21.12</f>
        <v>21.12</v>
      </c>
      <c r="I13" s="16"/>
      <c r="J13" s="16"/>
      <c r="K13" s="16"/>
      <c r="L13" s="16"/>
      <c r="M13" s="17"/>
      <c r="N13" s="17"/>
      <c r="O13" s="17"/>
      <c r="P13" s="5">
        <f t="shared" ref="P13:P40" si="0">SUM(B13:L13)</f>
        <v>307.68</v>
      </c>
      <c r="Q13" s="28"/>
    </row>
    <row r="14" spans="1:17" ht="24" customHeight="1" x14ac:dyDescent="0.2">
      <c r="A14" s="15">
        <v>45325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  <c r="Q14" s="28"/>
    </row>
    <row r="15" spans="1:17" ht="24" customHeight="1" x14ac:dyDescent="0.2">
      <c r="A15" s="15">
        <v>45326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  <c r="Q15" s="28"/>
    </row>
    <row r="16" spans="1:17" ht="24" customHeight="1" x14ac:dyDescent="0.2">
      <c r="A16" s="15">
        <v>45327</v>
      </c>
      <c r="B16" s="18">
        <f>30.32</f>
        <v>30.32</v>
      </c>
      <c r="C16" s="18"/>
      <c r="D16" s="18">
        <f>381.1</f>
        <v>381.1</v>
      </c>
      <c r="E16" s="18"/>
      <c r="F16" s="18"/>
      <c r="G16" s="18"/>
      <c r="H16" s="18"/>
      <c r="I16" s="18"/>
      <c r="J16" s="18">
        <f>0.62</f>
        <v>0.62</v>
      </c>
      <c r="K16" s="18"/>
      <c r="L16" s="18"/>
      <c r="M16" s="17"/>
      <c r="N16" s="17"/>
      <c r="O16" s="17"/>
      <c r="P16" s="5">
        <f t="shared" si="0"/>
        <v>412.04</v>
      </c>
      <c r="Q16" s="28"/>
    </row>
    <row r="17" spans="1:20" ht="24" customHeight="1" x14ac:dyDescent="0.2">
      <c r="A17" s="15">
        <v>45328</v>
      </c>
      <c r="B17" s="18">
        <f>30.32</f>
        <v>30.32</v>
      </c>
      <c r="C17" s="18">
        <f>29.79+32.03+32.06</f>
        <v>93.88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124.82</v>
      </c>
      <c r="Q17" s="28"/>
    </row>
    <row r="18" spans="1:20" ht="24" customHeight="1" x14ac:dyDescent="0.2">
      <c r="A18" s="15">
        <v>45329</v>
      </c>
      <c r="B18" s="18">
        <f>30.32</f>
        <v>30.32</v>
      </c>
      <c r="C18" s="18"/>
      <c r="D18" s="18"/>
      <c r="E18" s="18"/>
      <c r="F18" s="18"/>
      <c r="G18" s="18"/>
      <c r="H18" s="18"/>
      <c r="I18" s="18"/>
      <c r="J18" s="18"/>
      <c r="K18" s="2">
        <f>39.2</f>
        <v>39.200000000000003</v>
      </c>
      <c r="L18" s="18"/>
      <c r="M18" s="17"/>
      <c r="N18" s="17"/>
      <c r="O18" s="17"/>
      <c r="P18" s="5">
        <f t="shared" si="0"/>
        <v>69.52000000000001</v>
      </c>
      <c r="Q18" s="28"/>
    </row>
    <row r="19" spans="1:20" ht="24" customHeight="1" x14ac:dyDescent="0.2">
      <c r="A19" s="15">
        <v>45330</v>
      </c>
      <c r="B19" s="18">
        <f>30.32</f>
        <v>30.32</v>
      </c>
      <c r="C19" s="18"/>
      <c r="D19" s="18"/>
      <c r="E19" s="18"/>
      <c r="F19" s="18"/>
      <c r="G19" s="18"/>
      <c r="H19" s="18"/>
      <c r="I19" s="18"/>
      <c r="J19" s="18"/>
      <c r="K19" s="18">
        <f>39.2</f>
        <v>39.200000000000003</v>
      </c>
      <c r="L19" s="18"/>
      <c r="M19" s="17"/>
      <c r="N19" s="17"/>
      <c r="O19" s="17"/>
      <c r="P19" s="5">
        <f t="shared" si="0"/>
        <v>69.52000000000001</v>
      </c>
      <c r="Q19" s="28"/>
    </row>
    <row r="20" spans="1:20" ht="24" customHeight="1" x14ac:dyDescent="0.2">
      <c r="A20" s="15">
        <v>45331</v>
      </c>
      <c r="B20" s="18">
        <f>30.32+30.32</f>
        <v>60.64</v>
      </c>
      <c r="C20" s="18"/>
      <c r="D20" s="18">
        <f>572.38</f>
        <v>572.38</v>
      </c>
      <c r="E20" s="18"/>
      <c r="F20" s="18"/>
      <c r="G20" s="18"/>
      <c r="H20" s="18"/>
      <c r="I20" s="18"/>
      <c r="J20" s="18"/>
      <c r="K20" s="18">
        <f>39.2</f>
        <v>39.200000000000003</v>
      </c>
      <c r="L20" s="18"/>
      <c r="M20" s="17"/>
      <c r="N20" s="17"/>
      <c r="O20" s="17"/>
      <c r="P20" s="5">
        <f t="shared" si="0"/>
        <v>672.22</v>
      </c>
      <c r="Q20" s="28"/>
    </row>
    <row r="21" spans="1:20" ht="24" customHeight="1" x14ac:dyDescent="0.2">
      <c r="A21" s="15">
        <v>45332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  <c r="Q21" s="28"/>
    </row>
    <row r="22" spans="1:20" ht="24" customHeight="1" x14ac:dyDescent="0.2">
      <c r="A22" s="15">
        <v>45333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  <c r="Q22" s="28"/>
    </row>
    <row r="23" spans="1:20" ht="24" customHeight="1" x14ac:dyDescent="0.2">
      <c r="A23" s="15">
        <v>45334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  <c r="Q23" s="28"/>
    </row>
    <row r="24" spans="1:20" ht="24" customHeight="1" x14ac:dyDescent="0.2">
      <c r="A24" s="15">
        <v>45335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  <c r="Q24" s="28"/>
    </row>
    <row r="25" spans="1:20" ht="24" customHeight="1" x14ac:dyDescent="0.2">
      <c r="A25" s="15">
        <v>45336</v>
      </c>
      <c r="B25" s="18">
        <f>136.46+75.81</f>
        <v>212.27</v>
      </c>
      <c r="C25" s="18"/>
      <c r="D25" s="18"/>
      <c r="E25" s="18"/>
      <c r="F25" s="18">
        <f>21.12</f>
        <v>21.12</v>
      </c>
      <c r="G25" s="18"/>
      <c r="H25" s="18">
        <f>21.12</f>
        <v>21.12</v>
      </c>
      <c r="I25" s="18"/>
      <c r="J25" s="18"/>
      <c r="K25" s="18"/>
      <c r="L25" s="18"/>
      <c r="M25" s="17"/>
      <c r="N25" s="17"/>
      <c r="O25" s="17"/>
      <c r="P25" s="5">
        <f t="shared" si="0"/>
        <v>254.51000000000002</v>
      </c>
      <c r="Q25" s="28"/>
      <c r="T25" s="43"/>
    </row>
    <row r="26" spans="1:20" ht="26.25" customHeight="1" x14ac:dyDescent="0.2">
      <c r="A26" s="15">
        <v>45337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39.2</f>
        <v>39.200000000000003</v>
      </c>
      <c r="L26" s="18"/>
      <c r="M26" s="17"/>
      <c r="N26" s="17"/>
      <c r="O26" s="17"/>
      <c r="P26" s="5">
        <f t="shared" si="0"/>
        <v>39.200000000000003</v>
      </c>
    </row>
    <row r="27" spans="1:20" ht="24" customHeight="1" x14ac:dyDescent="0.2">
      <c r="A27" s="15">
        <v>45338</v>
      </c>
      <c r="B27" s="18">
        <f>75.81</f>
        <v>75.81</v>
      </c>
      <c r="C27" s="18"/>
      <c r="D27" s="18"/>
      <c r="E27" s="18"/>
      <c r="F27" s="18">
        <f>21.12+21.12</f>
        <v>42.24</v>
      </c>
      <c r="G27" s="18"/>
      <c r="H27" s="18">
        <f>21.12</f>
        <v>21.12</v>
      </c>
      <c r="I27" s="18"/>
      <c r="J27" s="18"/>
      <c r="K27" s="18"/>
      <c r="L27" s="18"/>
      <c r="M27" s="17"/>
      <c r="N27" s="17"/>
      <c r="O27" s="17"/>
      <c r="P27" s="5">
        <f t="shared" si="0"/>
        <v>139.17000000000002</v>
      </c>
    </row>
    <row r="28" spans="1:20" ht="24" customHeight="1" x14ac:dyDescent="0.2">
      <c r="A28" s="15">
        <v>45339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20" ht="26.25" customHeight="1" x14ac:dyDescent="0.2">
      <c r="A29" s="15">
        <v>45340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0</v>
      </c>
    </row>
    <row r="30" spans="1:20" ht="26.25" customHeight="1" x14ac:dyDescent="0.2">
      <c r="A30" s="15">
        <v>45341</v>
      </c>
      <c r="B30" s="18">
        <f>30.32</f>
        <v>30.32</v>
      </c>
      <c r="C30" s="18"/>
      <c r="D30" s="18">
        <f>761.54</f>
        <v>761.54</v>
      </c>
      <c r="E30" s="18">
        <f>108.14</f>
        <v>108.14</v>
      </c>
      <c r="F30" s="18">
        <f>21.12</f>
        <v>21.12</v>
      </c>
      <c r="G30" s="18"/>
      <c r="H30" s="18"/>
      <c r="I30" s="18"/>
      <c r="J30" s="18">
        <f>0.62</f>
        <v>0.62</v>
      </c>
      <c r="K30" s="18">
        <f>39.2</f>
        <v>39.200000000000003</v>
      </c>
      <c r="L30" s="18"/>
      <c r="M30" s="17"/>
      <c r="N30" s="17"/>
      <c r="O30" s="17"/>
      <c r="P30" s="5">
        <f t="shared" si="0"/>
        <v>960.94</v>
      </c>
    </row>
    <row r="31" spans="1:20" ht="22.5" customHeight="1" x14ac:dyDescent="0.2">
      <c r="A31" s="15">
        <v>45342</v>
      </c>
      <c r="B31" s="18">
        <f>136.46+30.32</f>
        <v>166.78</v>
      </c>
      <c r="C31" s="18"/>
      <c r="D31" s="18">
        <f>39.9</f>
        <v>39.9</v>
      </c>
      <c r="E31" s="18">
        <f>39.45</f>
        <v>39.450000000000003</v>
      </c>
      <c r="F31" s="18"/>
      <c r="G31" s="18"/>
      <c r="H31" s="18"/>
      <c r="I31" s="18"/>
      <c r="J31" s="18">
        <f>0.62</f>
        <v>0.62</v>
      </c>
      <c r="K31" s="18"/>
      <c r="L31" s="18"/>
      <c r="M31" s="17"/>
      <c r="N31" s="17"/>
      <c r="O31" s="17"/>
      <c r="P31" s="5">
        <f t="shared" si="0"/>
        <v>246.75</v>
      </c>
    </row>
    <row r="32" spans="1:20" ht="18.75" customHeight="1" x14ac:dyDescent="0.2">
      <c r="A32" s="15">
        <v>45343</v>
      </c>
      <c r="B32" s="18">
        <f>136.46</f>
        <v>136.46</v>
      </c>
      <c r="C32" s="18"/>
      <c r="D32" s="18"/>
      <c r="E32" s="18">
        <f>72.47</f>
        <v>72.47</v>
      </c>
      <c r="F32" s="18"/>
      <c r="G32" s="18"/>
      <c r="H32" s="18"/>
      <c r="I32" s="18"/>
      <c r="J32" s="18">
        <f>0.62</f>
        <v>0.62</v>
      </c>
      <c r="K32" s="18"/>
      <c r="L32" s="18"/>
      <c r="M32" s="17"/>
      <c r="N32" s="17"/>
      <c r="O32" s="17"/>
      <c r="P32" s="5">
        <f t="shared" si="0"/>
        <v>209.55</v>
      </c>
    </row>
    <row r="33" spans="1:16" ht="21" customHeight="1" x14ac:dyDescent="0.2">
      <c r="A33" s="15">
        <v>45344</v>
      </c>
      <c r="B33" s="18">
        <f>136.46</f>
        <v>136.46</v>
      </c>
      <c r="C33" s="18">
        <f>194.09</f>
        <v>194.09</v>
      </c>
      <c r="D33" s="18"/>
      <c r="E33" s="18"/>
      <c r="F33" s="18"/>
      <c r="G33" s="18"/>
      <c r="H33" s="18"/>
      <c r="I33" s="18"/>
      <c r="J33" s="18"/>
      <c r="K33" s="18"/>
      <c r="L33" s="18"/>
      <c r="M33" s="17"/>
      <c r="N33" s="17"/>
      <c r="O33" s="17"/>
      <c r="P33" s="5">
        <f t="shared" si="0"/>
        <v>330.55</v>
      </c>
    </row>
    <row r="34" spans="1:16" ht="24" customHeight="1" x14ac:dyDescent="0.2">
      <c r="A34" s="15">
        <v>45345</v>
      </c>
      <c r="B34" s="18">
        <f>136.46</f>
        <v>136.46</v>
      </c>
      <c r="C34" s="18">
        <f>48.18</f>
        <v>48.18</v>
      </c>
      <c r="D34" s="18"/>
      <c r="E34" s="18"/>
      <c r="F34" s="18"/>
      <c r="G34" s="18"/>
      <c r="H34" s="18"/>
      <c r="I34" s="18"/>
      <c r="J34" s="18">
        <f>0.62</f>
        <v>0.62</v>
      </c>
      <c r="K34" s="18"/>
      <c r="L34" s="18"/>
      <c r="M34" s="17"/>
      <c r="N34" s="17"/>
      <c r="O34" s="17"/>
      <c r="P34" s="5">
        <f t="shared" si="0"/>
        <v>185.26000000000002</v>
      </c>
    </row>
    <row r="35" spans="1:16" ht="21" customHeight="1" x14ac:dyDescent="0.2">
      <c r="A35" s="15">
        <v>45346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0"/>
        <v>0</v>
      </c>
    </row>
    <row r="36" spans="1:16" ht="28.5" customHeight="1" x14ac:dyDescent="0.2">
      <c r="A36" s="15">
        <v>45347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7"/>
      <c r="N36" s="17"/>
      <c r="O36" s="17"/>
      <c r="P36" s="5">
        <f t="shared" si="0"/>
        <v>0</v>
      </c>
    </row>
    <row r="37" spans="1:16" ht="20.25" customHeight="1" x14ac:dyDescent="0.2">
      <c r="A37" s="15">
        <v>45348</v>
      </c>
      <c r="B37" s="18"/>
      <c r="C37" s="18">
        <f>1.3+9.22+10.02+7.84+2.54+6.98+8.15</f>
        <v>46.05</v>
      </c>
      <c r="D37" s="18">
        <f>381.1</f>
        <v>381.1</v>
      </c>
      <c r="E37" s="18"/>
      <c r="F37" s="18"/>
      <c r="G37" s="18"/>
      <c r="H37" s="18"/>
      <c r="I37" s="18">
        <f>2.87+1.93</f>
        <v>4.8</v>
      </c>
      <c r="J37" s="18">
        <f>0.62</f>
        <v>0.62</v>
      </c>
      <c r="K37" s="18"/>
      <c r="L37" s="18"/>
      <c r="M37" s="17"/>
      <c r="N37" s="17"/>
      <c r="O37" s="17"/>
      <c r="P37" s="5">
        <f t="shared" si="0"/>
        <v>432.57000000000005</v>
      </c>
    </row>
    <row r="38" spans="1:16" ht="19.5" customHeight="1" x14ac:dyDescent="0.2">
      <c r="A38" s="15">
        <v>45349</v>
      </c>
      <c r="B38" s="18">
        <f>30.32+136.46</f>
        <v>166.78</v>
      </c>
      <c r="C38" s="18">
        <f>23.96+23.68+24.24+24.14</f>
        <v>96.02</v>
      </c>
      <c r="D38" s="18"/>
      <c r="E38" s="18"/>
      <c r="F38" s="18"/>
      <c r="G38" s="18"/>
      <c r="H38" s="18"/>
      <c r="I38" s="18"/>
      <c r="J38" s="18">
        <f>0.62</f>
        <v>0.62</v>
      </c>
      <c r="K38" s="18">
        <f>39.2</f>
        <v>39.200000000000003</v>
      </c>
      <c r="L38" s="18"/>
      <c r="M38" s="17"/>
      <c r="N38" s="17"/>
      <c r="O38" s="17"/>
      <c r="P38" s="5">
        <f t="shared" si="0"/>
        <v>302.62</v>
      </c>
    </row>
    <row r="39" spans="1:16" ht="21" customHeight="1" x14ac:dyDescent="0.2">
      <c r="A39" s="15">
        <v>45350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0"/>
        <v>0</v>
      </c>
    </row>
    <row r="40" spans="1:16" ht="23.25" customHeight="1" x14ac:dyDescent="0.2">
      <c r="A40" s="15">
        <v>45351</v>
      </c>
      <c r="B40" s="18">
        <f>30.32+30.32+30.32</f>
        <v>90.960000000000008</v>
      </c>
      <c r="C40" s="18">
        <f>10.85+11.66+11.68</f>
        <v>34.19</v>
      </c>
      <c r="D40" s="18">
        <f>84.69+84.69</f>
        <v>169.38</v>
      </c>
      <c r="E40" s="18">
        <f>22.08+19.07+24.19+19.07+19.58+13.68+26.7+25.06+22.08</f>
        <v>191.51</v>
      </c>
      <c r="F40" s="18"/>
      <c r="G40" s="18"/>
      <c r="H40" s="18"/>
      <c r="I40" s="18"/>
      <c r="J40" s="18">
        <f>0.62+0.62+0.62</f>
        <v>1.8599999999999999</v>
      </c>
      <c r="K40" s="18">
        <f>39.2+41.14</f>
        <v>80.34</v>
      </c>
      <c r="L40" s="18"/>
      <c r="M40" s="17"/>
      <c r="N40" s="17"/>
      <c r="O40" s="17"/>
      <c r="P40" s="5">
        <f t="shared" si="0"/>
        <v>568.24</v>
      </c>
    </row>
    <row r="41" spans="1:16" ht="19.5" customHeight="1" x14ac:dyDescent="0.2">
      <c r="A41" s="19" t="s">
        <v>2</v>
      </c>
      <c r="B41" s="20">
        <f t="shared" ref="B41:O41" si="1">SUM(B14:B40)</f>
        <v>1334.22</v>
      </c>
      <c r="C41" s="20">
        <f t="shared" si="1"/>
        <v>512.41000000000008</v>
      </c>
      <c r="D41" s="20">
        <f t="shared" si="1"/>
        <v>2305.4</v>
      </c>
      <c r="E41" s="20">
        <f t="shared" si="1"/>
        <v>411.57</v>
      </c>
      <c r="F41" s="20">
        <f t="shared" si="1"/>
        <v>84.48</v>
      </c>
      <c r="G41" s="20">
        <f t="shared" si="1"/>
        <v>0</v>
      </c>
      <c r="H41" s="20">
        <f t="shared" si="1"/>
        <v>42.24</v>
      </c>
      <c r="I41" s="20">
        <f t="shared" si="1"/>
        <v>4.8</v>
      </c>
      <c r="J41" s="20">
        <f t="shared" si="1"/>
        <v>6.82</v>
      </c>
      <c r="K41" s="20">
        <f t="shared" si="1"/>
        <v>315.53999999999996</v>
      </c>
      <c r="L41" s="20">
        <f t="shared" si="1"/>
        <v>0</v>
      </c>
      <c r="M41" s="20">
        <f t="shared" si="1"/>
        <v>0</v>
      </c>
      <c r="N41" s="20">
        <f t="shared" si="1"/>
        <v>0</v>
      </c>
      <c r="O41" s="20">
        <f t="shared" si="1"/>
        <v>0</v>
      </c>
      <c r="P41" s="23">
        <f>SUM(P12:P40)</f>
        <v>10532.500000000002</v>
      </c>
    </row>
  </sheetData>
  <mergeCells count="17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J9:J11"/>
    <mergeCell ref="K9:K11"/>
    <mergeCell ref="L9:L11"/>
    <mergeCell ref="M9:M11"/>
    <mergeCell ref="N9:N11"/>
  </mergeCells>
  <pageMargins left="0.51180555555555596" right="0.51180555555555596" top="0.39374999999999999" bottom="0.39374999999999999" header="0.511811023622047" footer="0.511811023622047"/>
  <pageSetup paperSize="9" scale="7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2" t="s">
        <v>33</v>
      </c>
    </row>
    <row r="7" spans="1:16" ht="12" x14ac:dyDescent="0.2">
      <c r="A7" s="57">
        <v>44986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0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55" t="s">
        <v>31</v>
      </c>
      <c r="N33" s="55"/>
      <c r="O33" s="55"/>
      <c r="P33" s="55"/>
    </row>
    <row r="34" spans="1:16" ht="24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16" ht="24" customHeight="1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M33:P33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35</v>
      </c>
    </row>
    <row r="7" spans="1:16" ht="12" x14ac:dyDescent="0.2">
      <c r="A7" s="57">
        <v>45017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45019</v>
      </c>
      <c r="B12" s="32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7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7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29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29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29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29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29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29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29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29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5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6" customFormat="1" ht="24" customHeight="1" x14ac:dyDescent="0.2">
      <c r="A27" s="30" t="s">
        <v>2</v>
      </c>
      <c r="B27" s="33">
        <f t="shared" ref="B27:P27" si="1">SUM(B12:B26)</f>
        <v>1427.1300000000003</v>
      </c>
      <c r="C27" s="33">
        <f t="shared" si="1"/>
        <v>209.2</v>
      </c>
      <c r="D27" s="33">
        <f t="shared" si="1"/>
        <v>1572.5399999999997</v>
      </c>
      <c r="E27" s="33">
        <f t="shared" si="1"/>
        <v>641.27</v>
      </c>
      <c r="F27" s="33">
        <f t="shared" si="1"/>
        <v>102.5</v>
      </c>
      <c r="G27" s="33">
        <f t="shared" si="1"/>
        <v>0</v>
      </c>
      <c r="H27" s="33">
        <f t="shared" si="1"/>
        <v>59.5</v>
      </c>
      <c r="I27" s="33">
        <f t="shared" si="1"/>
        <v>4.49</v>
      </c>
      <c r="J27" s="33">
        <f t="shared" si="1"/>
        <v>4.34</v>
      </c>
      <c r="K27" s="33">
        <f t="shared" si="1"/>
        <v>522.75</v>
      </c>
      <c r="L27" s="33">
        <f t="shared" si="1"/>
        <v>0</v>
      </c>
      <c r="M27" s="34">
        <f t="shared" si="1"/>
        <v>0</v>
      </c>
      <c r="N27" s="34">
        <f t="shared" si="1"/>
        <v>0</v>
      </c>
      <c r="O27" s="34">
        <f t="shared" si="1"/>
        <v>0</v>
      </c>
      <c r="P27" s="35">
        <f t="shared" si="1"/>
        <v>4543.7199999999993</v>
      </c>
      <c r="R27" s="37"/>
    </row>
    <row r="28" spans="1:18" x14ac:dyDescent="0.2">
      <c r="A28" s="24"/>
      <c r="B28" s="31" t="s">
        <v>34</v>
      </c>
      <c r="C28" s="31"/>
      <c r="D28" s="31" t="s">
        <v>34</v>
      </c>
      <c r="E28" s="31"/>
      <c r="F28" s="31" t="s">
        <v>34</v>
      </c>
      <c r="G28" s="31"/>
      <c r="H28" s="31" t="s">
        <v>34</v>
      </c>
      <c r="I28" s="31" t="s">
        <v>34</v>
      </c>
      <c r="J28" s="31" t="s">
        <v>34</v>
      </c>
      <c r="K28" s="31" t="s">
        <v>34</v>
      </c>
      <c r="L28" s="31"/>
      <c r="M28" s="55" t="s">
        <v>30</v>
      </c>
      <c r="N28" s="55"/>
      <c r="O28" s="55"/>
      <c r="P28" s="55"/>
    </row>
    <row r="29" spans="1:18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8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M28:P28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2" t="s">
        <v>33</v>
      </c>
    </row>
    <row r="7" spans="1:16" ht="12" x14ac:dyDescent="0.2">
      <c r="A7" s="57">
        <v>45047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6" t="s">
        <v>24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3"/>
      <c r="N11" s="53"/>
      <c r="O11" s="53"/>
      <c r="P11" s="54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7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7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29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29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29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29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29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29" t="s">
        <v>2</v>
      </c>
      <c r="B31" s="38">
        <f t="shared" ref="B31:P31" si="1">SUM(B12:B30)</f>
        <v>2008.21</v>
      </c>
      <c r="C31" s="38">
        <f t="shared" si="1"/>
        <v>465.18</v>
      </c>
      <c r="D31" s="38">
        <f t="shared" si="1"/>
        <v>4333.99</v>
      </c>
      <c r="E31" s="38">
        <f t="shared" si="1"/>
        <v>663.77</v>
      </c>
      <c r="F31" s="38">
        <f t="shared" si="1"/>
        <v>41</v>
      </c>
      <c r="G31" s="38">
        <f t="shared" si="1"/>
        <v>308.75</v>
      </c>
      <c r="H31" s="38">
        <f t="shared" si="1"/>
        <v>20.5</v>
      </c>
      <c r="I31" s="38">
        <f t="shared" si="1"/>
        <v>60.69</v>
      </c>
      <c r="J31" s="38">
        <f t="shared" si="1"/>
        <v>11.18</v>
      </c>
      <c r="K31" s="38">
        <f t="shared" si="1"/>
        <v>190</v>
      </c>
      <c r="L31" s="38">
        <f t="shared" si="1"/>
        <v>0</v>
      </c>
      <c r="M31" s="21">
        <f t="shared" si="1"/>
        <v>0</v>
      </c>
      <c r="N31" s="21">
        <f t="shared" si="1"/>
        <v>0</v>
      </c>
      <c r="O31" s="21">
        <f t="shared" si="1"/>
        <v>0</v>
      </c>
      <c r="P31" s="39">
        <f t="shared" si="1"/>
        <v>8103.27</v>
      </c>
      <c r="R31" s="28"/>
    </row>
    <row r="32" spans="1:18" ht="12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59" t="s">
        <v>32</v>
      </c>
      <c r="M32" s="59"/>
      <c r="N32" s="59"/>
      <c r="O32" s="59"/>
      <c r="P32" s="59"/>
    </row>
    <row r="33" spans="1:16" ht="24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6" ht="24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L32:P32"/>
    <mergeCell ref="O9:O11"/>
    <mergeCell ref="P9:P11"/>
    <mergeCell ref="J9:J11"/>
    <mergeCell ref="K9:K11"/>
    <mergeCell ref="L9:L11"/>
    <mergeCell ref="M9:M11"/>
    <mergeCell ref="N9:N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2" t="s">
        <v>33</v>
      </c>
    </row>
    <row r="6" spans="1:18" ht="11.25" x14ac:dyDescent="0.2"/>
    <row r="7" spans="1:18" ht="12" x14ac:dyDescent="0.2">
      <c r="A7" s="57">
        <v>45078</v>
      </c>
      <c r="B7" s="57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38</v>
      </c>
      <c r="L9" s="56" t="s">
        <v>36</v>
      </c>
      <c r="M9" s="56" t="s">
        <v>23</v>
      </c>
      <c r="N9" s="56" t="s">
        <v>24</v>
      </c>
      <c r="O9" s="53" t="s">
        <v>25</v>
      </c>
      <c r="P9" s="53" t="s">
        <v>26</v>
      </c>
      <c r="Q9" s="53" t="s">
        <v>27</v>
      </c>
      <c r="R9" s="54" t="s">
        <v>1</v>
      </c>
    </row>
    <row r="10" spans="1:18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3"/>
      <c r="P10" s="53"/>
      <c r="Q10" s="53"/>
      <c r="R10" s="54"/>
    </row>
    <row r="11" spans="1:18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3"/>
      <c r="P11" s="53"/>
      <c r="Q11" s="53"/>
      <c r="R11" s="54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29" t="s">
        <v>2</v>
      </c>
      <c r="B26" s="38">
        <f t="shared" ref="B26:R26" si="1">SUM(B12:B25)</f>
        <v>1485.62</v>
      </c>
      <c r="C26" s="38">
        <f t="shared" si="1"/>
        <v>1229.72</v>
      </c>
      <c r="D26" s="38">
        <f t="shared" si="1"/>
        <v>2239.65</v>
      </c>
      <c r="E26" s="38">
        <f t="shared" si="1"/>
        <v>400.54</v>
      </c>
      <c r="F26" s="38">
        <f t="shared" si="1"/>
        <v>0</v>
      </c>
      <c r="G26" s="38">
        <f t="shared" si="1"/>
        <v>123.5</v>
      </c>
      <c r="H26" s="38">
        <f t="shared" si="1"/>
        <v>0</v>
      </c>
      <c r="I26" s="38">
        <f t="shared" si="1"/>
        <v>4.55</v>
      </c>
      <c r="J26" s="38">
        <f t="shared" si="1"/>
        <v>11.779999999999998</v>
      </c>
      <c r="K26" s="38">
        <f t="shared" si="1"/>
        <v>53.5</v>
      </c>
      <c r="L26" s="38">
        <f t="shared" si="1"/>
        <v>20.75</v>
      </c>
      <c r="M26" s="38">
        <f t="shared" si="1"/>
        <v>221.5</v>
      </c>
      <c r="N26" s="38">
        <f t="shared" si="1"/>
        <v>0</v>
      </c>
      <c r="O26" s="44">
        <f t="shared" si="1"/>
        <v>0</v>
      </c>
      <c r="P26" s="44">
        <f t="shared" si="1"/>
        <v>0</v>
      </c>
      <c r="Q26" s="44">
        <f t="shared" si="1"/>
        <v>0</v>
      </c>
      <c r="R26" s="45">
        <f t="shared" si="1"/>
        <v>5791.11</v>
      </c>
      <c r="T26" s="28"/>
    </row>
    <row r="27" spans="1:20" ht="12" customHeight="1" x14ac:dyDescent="0.2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59" t="s">
        <v>37</v>
      </c>
      <c r="O27" s="59"/>
      <c r="P27" s="59"/>
      <c r="Q27" s="59"/>
      <c r="R27" s="59"/>
    </row>
    <row r="28" spans="1:20" ht="24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20" ht="24" customHeight="1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A7:B7"/>
    <mergeCell ref="F9:F11"/>
    <mergeCell ref="G9:G11"/>
    <mergeCell ref="H9:H11"/>
    <mergeCell ref="I9:I11"/>
    <mergeCell ref="J9:J11"/>
    <mergeCell ref="A9:A11"/>
    <mergeCell ref="B9:B11"/>
    <mergeCell ref="C9:C11"/>
    <mergeCell ref="D9:D11"/>
    <mergeCell ref="E9:E11"/>
    <mergeCell ref="N27:R27"/>
    <mergeCell ref="K9:K11"/>
    <mergeCell ref="L9:L11"/>
    <mergeCell ref="N9:N11"/>
    <mergeCell ref="O9:O11"/>
    <mergeCell ref="P9:P11"/>
    <mergeCell ref="Q9:Q11"/>
    <mergeCell ref="R9:R11"/>
    <mergeCell ref="M9:M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2" t="s">
        <v>33</v>
      </c>
    </row>
    <row r="7" spans="1:15" ht="12" x14ac:dyDescent="0.2">
      <c r="A7" s="57">
        <v>45139</v>
      </c>
      <c r="B7" s="57"/>
      <c r="D7" s="14"/>
      <c r="E7" s="14"/>
      <c r="F7" s="14"/>
      <c r="G7" s="14"/>
      <c r="H7" s="14"/>
    </row>
    <row r="9" spans="1:15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6" t="s">
        <v>23</v>
      </c>
      <c r="L9" s="53" t="s">
        <v>25</v>
      </c>
      <c r="M9" s="53" t="s">
        <v>26</v>
      </c>
      <c r="N9" s="53" t="s">
        <v>27</v>
      </c>
      <c r="O9" s="54" t="s">
        <v>1</v>
      </c>
    </row>
    <row r="10" spans="1:15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53"/>
      <c r="N10" s="53"/>
      <c r="O10" s="54"/>
    </row>
    <row r="11" spans="1:15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M11" s="53"/>
      <c r="N11" s="53"/>
      <c r="O11" s="54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29" t="s">
        <v>2</v>
      </c>
      <c r="B43" s="46">
        <f>SUM(B12:B42)</f>
        <v>712.62999999999988</v>
      </c>
      <c r="C43" s="46">
        <f t="shared" ref="C43:N43" si="1">SUM(C12:C42)</f>
        <v>388.62</v>
      </c>
      <c r="D43" s="46">
        <f t="shared" si="1"/>
        <v>576.98</v>
      </c>
      <c r="E43" s="46">
        <f t="shared" si="1"/>
        <v>212.42000000000004</v>
      </c>
      <c r="F43" s="46">
        <f t="shared" si="1"/>
        <v>20.5</v>
      </c>
      <c r="G43" s="46">
        <f t="shared" si="1"/>
        <v>0</v>
      </c>
      <c r="H43" s="46">
        <f t="shared" si="1"/>
        <v>0</v>
      </c>
      <c r="I43" s="46">
        <f t="shared" si="1"/>
        <v>7.51</v>
      </c>
      <c r="J43" s="46">
        <f t="shared" si="1"/>
        <v>8.68</v>
      </c>
      <c r="K43" s="46">
        <f t="shared" si="1"/>
        <v>380</v>
      </c>
      <c r="L43" s="46">
        <f t="shared" si="1"/>
        <v>0</v>
      </c>
      <c r="M43" s="46">
        <f t="shared" si="1"/>
        <v>0</v>
      </c>
      <c r="N43" s="46">
        <f t="shared" si="1"/>
        <v>0</v>
      </c>
      <c r="O43" s="47">
        <f>SUM(O12:O42)</f>
        <v>2307.34</v>
      </c>
    </row>
    <row r="44" spans="1:15" ht="12" customHeigh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55"/>
      <c r="M44" s="55"/>
      <c r="N44" s="55"/>
      <c r="O44" s="55"/>
    </row>
    <row r="45" spans="1:15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</row>
    <row r="46" spans="1:15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</row>
  </sheetData>
  <mergeCells count="17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N9:N11"/>
    <mergeCell ref="O9:O11"/>
    <mergeCell ref="L44:O44"/>
    <mergeCell ref="J9:J11"/>
    <mergeCell ref="K9:K11"/>
    <mergeCell ref="L9:L11"/>
    <mergeCell ref="M9:M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B12" sqref="B1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2" t="s">
        <v>33</v>
      </c>
    </row>
    <row r="7" spans="1:16" ht="12" x14ac:dyDescent="0.2">
      <c r="A7" s="57">
        <v>45200</v>
      </c>
      <c r="B7" s="57"/>
      <c r="D7" s="14"/>
      <c r="E7" s="14"/>
      <c r="F7" s="14"/>
      <c r="G7" s="14"/>
      <c r="H7" s="14"/>
    </row>
    <row r="9" spans="1:16" ht="15" customHeight="1" x14ac:dyDescent="0.2">
      <c r="A9" s="58"/>
      <c r="B9" s="56" t="s">
        <v>28</v>
      </c>
      <c r="C9" s="56" t="s">
        <v>16</v>
      </c>
      <c r="D9" s="56" t="s">
        <v>29</v>
      </c>
      <c r="E9" s="56" t="s">
        <v>17</v>
      </c>
      <c r="F9" s="56" t="s">
        <v>18</v>
      </c>
      <c r="G9" s="56" t="s">
        <v>19</v>
      </c>
      <c r="H9" s="56" t="s">
        <v>20</v>
      </c>
      <c r="I9" s="56" t="s">
        <v>21</v>
      </c>
      <c r="J9" s="56" t="s">
        <v>22</v>
      </c>
      <c r="K9" s="58" t="s">
        <v>39</v>
      </c>
      <c r="L9" s="56" t="s">
        <v>23</v>
      </c>
      <c r="M9" s="53" t="s">
        <v>25</v>
      </c>
      <c r="N9" s="53" t="s">
        <v>26</v>
      </c>
      <c r="O9" s="53" t="s">
        <v>27</v>
      </c>
      <c r="P9" s="54" t="s">
        <v>1</v>
      </c>
    </row>
    <row r="10" spans="1:16" ht="11.25" customHeight="1" x14ac:dyDescent="0.2">
      <c r="A10" s="58"/>
      <c r="B10" s="56"/>
      <c r="C10" s="56"/>
      <c r="D10" s="56"/>
      <c r="E10" s="56"/>
      <c r="F10" s="56"/>
      <c r="G10" s="56"/>
      <c r="H10" s="56"/>
      <c r="I10" s="56"/>
      <c r="J10" s="56"/>
      <c r="K10" s="61"/>
      <c r="L10" s="56"/>
      <c r="M10" s="53"/>
      <c r="N10" s="53"/>
      <c r="O10" s="53"/>
      <c r="P10" s="54"/>
    </row>
    <row r="11" spans="1:16" ht="11.25" customHeight="1" x14ac:dyDescent="0.2">
      <c r="A11" s="58"/>
      <c r="B11" s="56"/>
      <c r="C11" s="56"/>
      <c r="D11" s="56"/>
      <c r="E11" s="56"/>
      <c r="F11" s="56"/>
      <c r="G11" s="56"/>
      <c r="H11" s="56"/>
      <c r="I11" s="56"/>
      <c r="J11" s="56"/>
      <c r="K11" s="62"/>
      <c r="L11" s="56"/>
      <c r="M11" s="53"/>
      <c r="N11" s="53"/>
      <c r="O11" s="53"/>
      <c r="P11" s="54"/>
    </row>
    <row r="12" spans="1:16" ht="23.25" customHeight="1" x14ac:dyDescent="0.2">
      <c r="A12" s="15">
        <v>44470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44471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44472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44473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44474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44475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44476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44477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44478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44479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44480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44481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44482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44483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44484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44485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44486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44487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44488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2" si="1">SUM(B30:L30)</f>
        <v>29.290000000000003</v>
      </c>
    </row>
    <row r="31" spans="1:16" ht="24" customHeight="1" x14ac:dyDescent="0.2">
      <c r="A31" s="15">
        <v>44489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44490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44491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44492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44493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44494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44495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44496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44497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44498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44499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/>
    </row>
    <row r="42" spans="1:16" ht="24" customHeight="1" x14ac:dyDescent="0.2">
      <c r="A42" s="15">
        <v>44500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5">
        <f t="shared" si="1"/>
        <v>0</v>
      </c>
    </row>
    <row r="43" spans="1:16" ht="24" customHeight="1" x14ac:dyDescent="0.2">
      <c r="A43" s="29" t="s">
        <v>2</v>
      </c>
      <c r="B43" s="38">
        <f t="shared" ref="B43:P43" si="2">SUM(B12:B42)</f>
        <v>523.91999999999996</v>
      </c>
      <c r="C43" s="41">
        <f t="shared" si="2"/>
        <v>147.85999999999999</v>
      </c>
      <c r="D43" s="41">
        <f t="shared" si="2"/>
        <v>792.95999999999992</v>
      </c>
      <c r="E43" s="41">
        <f t="shared" si="2"/>
        <v>565.73000000000013</v>
      </c>
      <c r="F43" s="41">
        <f t="shared" si="2"/>
        <v>41</v>
      </c>
      <c r="G43" s="41">
        <f t="shared" si="2"/>
        <v>61.75</v>
      </c>
      <c r="H43" s="41">
        <f t="shared" si="2"/>
        <v>20.5</v>
      </c>
      <c r="I43" s="41">
        <f t="shared" si="2"/>
        <v>5.24</v>
      </c>
      <c r="J43" s="41">
        <f t="shared" si="2"/>
        <v>8.06</v>
      </c>
      <c r="K43" s="41"/>
      <c r="L43" s="41">
        <f t="shared" si="2"/>
        <v>304</v>
      </c>
      <c r="M43" s="21">
        <f t="shared" si="2"/>
        <v>0</v>
      </c>
      <c r="N43" s="21">
        <f t="shared" si="2"/>
        <v>0</v>
      </c>
      <c r="O43" s="22">
        <f t="shared" si="2"/>
        <v>0</v>
      </c>
      <c r="P43" s="35">
        <f t="shared" si="2"/>
        <v>2491.7700000000004</v>
      </c>
    </row>
    <row r="44" spans="1:16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5"/>
      <c r="N44" s="55"/>
      <c r="O44" s="55"/>
      <c r="P44" s="55"/>
    </row>
    <row r="45" spans="1:16" ht="24" customHeigh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6" ht="24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19">
    <mergeCell ref="A7:B7"/>
    <mergeCell ref="A9:A11"/>
    <mergeCell ref="B9:B11"/>
    <mergeCell ref="C9:C11"/>
    <mergeCell ref="D9:D11"/>
    <mergeCell ref="O9:O11"/>
    <mergeCell ref="P9:P11"/>
    <mergeCell ref="A44:L44"/>
    <mergeCell ref="M44:P44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2024-03-05T15:21:04Z</cp:lastPrinted>
  <dcterms:created xsi:type="dcterms:W3CDTF">2012-12-12T12:29:50Z</dcterms:created>
  <dcterms:modified xsi:type="dcterms:W3CDTF">2024-03-05T15:21:11Z</dcterms:modified>
  <dc:language>pt-BR</dc:language>
</cp:coreProperties>
</file>