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3\FINANCEIRO2023\112023\"/>
    </mc:Choice>
  </mc:AlternateContent>
  <bookViews>
    <workbookView xWindow="0" yWindow="0" windowWidth="13155" windowHeight="9210" tabRatio="500" firstSheet="6" activeTab="10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AGO 25% " sheetId="9" r:id="rId8"/>
    <sheet name="SET 25%" sheetId="10" r:id="rId9"/>
    <sheet name="OUT 25%" sheetId="11" r:id="rId10"/>
    <sheet name="NOV 25%" sheetId="12" r:id="rId11"/>
    <sheet name="DEZ 25%" sheetId="13" r:id="rId12"/>
  </sheets>
  <externalReferences>
    <externalReference r:id="rId13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1" i="12" l="1"/>
  <c r="O41" i="12" s="1"/>
  <c r="K40" i="12"/>
  <c r="D40" i="12"/>
  <c r="E40" i="12"/>
  <c r="J40" i="12"/>
  <c r="K39" i="12"/>
  <c r="H38" i="12"/>
  <c r="F38" i="12"/>
  <c r="O38" i="12" s="1"/>
  <c r="B38" i="12"/>
  <c r="F35" i="12"/>
  <c r="C35" i="12"/>
  <c r="I35" i="12"/>
  <c r="J35" i="12"/>
  <c r="I33" i="12"/>
  <c r="J33" i="12"/>
  <c r="B33" i="12"/>
  <c r="C33" i="12"/>
  <c r="E31" i="12"/>
  <c r="J31" i="12"/>
  <c r="B28" i="12"/>
  <c r="F28" i="12"/>
  <c r="H28" i="12"/>
  <c r="C25" i="12"/>
  <c r="J25" i="12"/>
  <c r="K25" i="12"/>
  <c r="F24" i="12"/>
  <c r="B24" i="12"/>
  <c r="H24" i="12"/>
  <c r="J24" i="12"/>
  <c r="C24" i="12"/>
  <c r="K24" i="12"/>
  <c r="B18" i="12"/>
  <c r="I18" i="12"/>
  <c r="C18" i="12"/>
  <c r="J18" i="12"/>
  <c r="B12" i="12"/>
  <c r="J12" i="12"/>
  <c r="K12" i="12"/>
  <c r="O39" i="12"/>
  <c r="O13" i="12"/>
  <c r="O14" i="12"/>
  <c r="O15" i="12"/>
  <c r="O16" i="12"/>
  <c r="O17" i="12"/>
  <c r="O19" i="12"/>
  <c r="O20" i="12"/>
  <c r="O21" i="12"/>
  <c r="O22" i="12"/>
  <c r="O23" i="12"/>
  <c r="O25" i="12"/>
  <c r="O26" i="12"/>
  <c r="O27" i="12"/>
  <c r="O28" i="12"/>
  <c r="O29" i="12"/>
  <c r="O30" i="12"/>
  <c r="O40" i="12" l="1"/>
  <c r="O24" i="12"/>
  <c r="O18" i="12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27" i="11"/>
  <c r="O28" i="11"/>
  <c r="K42" i="11" l="1"/>
  <c r="E43" i="11"/>
  <c r="E42" i="11"/>
  <c r="J43" i="11"/>
  <c r="J42" i="11"/>
  <c r="B41" i="11"/>
  <c r="C41" i="11"/>
  <c r="F38" i="11"/>
  <c r="K38" i="11"/>
  <c r="D37" i="11"/>
  <c r="G37" i="11"/>
  <c r="K37" i="11"/>
  <c r="E37" i="11"/>
  <c r="J37" i="11"/>
  <c r="D36" i="11"/>
  <c r="E36" i="11"/>
  <c r="J36" i="11"/>
  <c r="B35" i="11"/>
  <c r="C35" i="11"/>
  <c r="D35" i="11"/>
  <c r="I35" i="11"/>
  <c r="J35" i="11"/>
  <c r="K35" i="11"/>
  <c r="J34" i="11"/>
  <c r="C34" i="11"/>
  <c r="I34" i="11"/>
  <c r="B34" i="11"/>
  <c r="K29" i="11"/>
  <c r="C24" i="11"/>
  <c r="B24" i="11"/>
  <c r="O24" i="11" s="1"/>
  <c r="J24" i="11"/>
  <c r="K24" i="11"/>
  <c r="K22" i="11"/>
  <c r="D20" i="11"/>
  <c r="G20" i="11"/>
  <c r="E20" i="11"/>
  <c r="J20" i="11"/>
  <c r="B15" i="11"/>
  <c r="J15" i="11"/>
  <c r="C15" i="11"/>
  <c r="J14" i="11"/>
  <c r="B14" i="11"/>
  <c r="C14" i="11"/>
  <c r="B13" i="11"/>
  <c r="J13" i="11"/>
  <c r="O13" i="11" s="1"/>
  <c r="K13" i="11"/>
  <c r="O16" i="11"/>
  <c r="O17" i="11"/>
  <c r="O18" i="11"/>
  <c r="O19" i="11"/>
  <c r="O20" i="11"/>
  <c r="O21" i="11"/>
  <c r="O22" i="11"/>
  <c r="O23" i="11"/>
  <c r="O25" i="11"/>
  <c r="O26" i="11"/>
  <c r="O29" i="11"/>
  <c r="B15" i="10" l="1"/>
  <c r="B16" i="10"/>
  <c r="D40" i="10" l="1"/>
  <c r="J40" i="10"/>
  <c r="E40" i="10"/>
  <c r="L38" i="10"/>
  <c r="P38" i="10" s="1"/>
  <c r="L37" i="10"/>
  <c r="B36" i="10"/>
  <c r="J36" i="10"/>
  <c r="C36" i="10"/>
  <c r="I36" i="10"/>
  <c r="L33" i="10"/>
  <c r="L31" i="10"/>
  <c r="J30" i="10"/>
  <c r="B30" i="10"/>
  <c r="C30" i="10"/>
  <c r="B29" i="10"/>
  <c r="J29" i="10"/>
  <c r="C29" i="10"/>
  <c r="B26" i="10"/>
  <c r="P26" i="10" s="1"/>
  <c r="K25" i="10"/>
  <c r="D24" i="10"/>
  <c r="E24" i="10"/>
  <c r="J24" i="10"/>
  <c r="L24" i="10"/>
  <c r="B23" i="10"/>
  <c r="I23" i="10"/>
  <c r="C23" i="10"/>
  <c r="P23" i="10" s="1"/>
  <c r="J23" i="10"/>
  <c r="L23" i="10"/>
  <c r="J19" i="10"/>
  <c r="B19" i="10"/>
  <c r="G19" i="10"/>
  <c r="D19" i="10"/>
  <c r="F16" i="10"/>
  <c r="H16" i="10"/>
  <c r="J16" i="10"/>
  <c r="L16" i="10"/>
  <c r="P15" i="10"/>
  <c r="F12" i="10"/>
  <c r="J12" i="10"/>
  <c r="C12" i="10"/>
  <c r="B12" i="10"/>
  <c r="E12" i="10"/>
  <c r="L12" i="10"/>
  <c r="D12" i="10"/>
  <c r="P37" i="10"/>
  <c r="P39" i="10"/>
  <c r="P42" i="10"/>
  <c r="P14" i="10"/>
  <c r="P17" i="10"/>
  <c r="P18" i="10"/>
  <c r="P20" i="10"/>
  <c r="P21" i="10"/>
  <c r="P22" i="10"/>
  <c r="P25" i="10"/>
  <c r="P27" i="10"/>
  <c r="P28" i="10"/>
  <c r="P29" i="10" l="1"/>
  <c r="P40" i="10"/>
  <c r="P24" i="10"/>
  <c r="P19" i="10"/>
  <c r="P16" i="10"/>
  <c r="E40" i="9"/>
  <c r="D40" i="9"/>
  <c r="J40" i="9"/>
  <c r="C32" i="9"/>
  <c r="I32" i="9"/>
  <c r="B32" i="9"/>
  <c r="J32" i="9"/>
  <c r="B22" i="9"/>
  <c r="C18" i="9"/>
  <c r="B18" i="9"/>
  <c r="E18" i="9"/>
  <c r="D18" i="9"/>
  <c r="C15" i="9"/>
  <c r="J13" i="9"/>
  <c r="B12" i="9"/>
  <c r="J12" i="9"/>
  <c r="C12" i="9"/>
  <c r="K12" i="9"/>
  <c r="K41" i="9" l="1"/>
  <c r="K40" i="9"/>
  <c r="J25" i="9"/>
  <c r="C25" i="9"/>
  <c r="K25" i="9"/>
  <c r="J22" i="9"/>
  <c r="K22" i="9"/>
  <c r="K19" i="9"/>
  <c r="F18" i="9"/>
  <c r="J18" i="9"/>
  <c r="J15" i="9"/>
  <c r="B15" i="9"/>
  <c r="J14" i="9"/>
  <c r="B14" i="9"/>
  <c r="I14" i="9"/>
  <c r="C14" i="9"/>
  <c r="K14" i="9"/>
  <c r="B13" i="9"/>
  <c r="D13" i="9"/>
  <c r="K13" i="9"/>
  <c r="I43" i="13" l="1"/>
  <c r="N43" i="13"/>
  <c r="M43" i="13"/>
  <c r="L43" i="13"/>
  <c r="O36" i="13" l="1"/>
  <c r="O12" i="13"/>
  <c r="O32" i="13"/>
  <c r="E43" i="13"/>
  <c r="O33" i="13"/>
  <c r="F43" i="13"/>
  <c r="B43" i="13"/>
  <c r="J43" i="13"/>
  <c r="O37" i="13"/>
  <c r="G43" i="13"/>
  <c r="C43" i="13"/>
  <c r="K43" i="13"/>
  <c r="O35" i="13"/>
  <c r="H43" i="13"/>
  <c r="D43" i="13"/>
  <c r="O31" i="13"/>
  <c r="O34" i="13"/>
  <c r="O38" i="13"/>
  <c r="O43" i="13" l="1"/>
  <c r="O13" i="9" l="1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 l="1"/>
  <c r="M25" i="7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P13" i="3"/>
  <c r="P14" i="3"/>
  <c r="P15" i="3"/>
  <c r="P16" i="3"/>
  <c r="P17" i="3"/>
  <c r="P18" i="3"/>
  <c r="P19" i="3"/>
  <c r="P20" i="3"/>
  <c r="P21" i="3"/>
  <c r="P22" i="3"/>
  <c r="P23" i="3"/>
  <c r="B20" i="3"/>
  <c r="B21" i="3" l="1"/>
  <c r="C21" i="3"/>
  <c r="J21" i="3"/>
  <c r="D21" i="3"/>
  <c r="C19" i="3"/>
  <c r="I19" i="3"/>
  <c r="J19" i="3"/>
  <c r="B18" i="3"/>
  <c r="B17" i="3"/>
  <c r="C17" i="3"/>
  <c r="J17" i="3"/>
  <c r="C16" i="3"/>
  <c r="J16" i="3"/>
  <c r="B15" i="3"/>
  <c r="J15" i="3"/>
  <c r="C15" i="3"/>
  <c r="B23" i="3"/>
  <c r="H23" i="3"/>
  <c r="F23" i="3"/>
  <c r="B13" i="3"/>
  <c r="B12" i="3"/>
  <c r="K12" i="3"/>
  <c r="C12" i="3"/>
  <c r="J12" i="3"/>
  <c r="D12" i="3"/>
  <c r="P24" i="3" l="1"/>
  <c r="G24" i="3" l="1"/>
  <c r="H24" i="3"/>
  <c r="I24" i="3"/>
  <c r="J24" i="3"/>
  <c r="K24" i="3"/>
  <c r="L24" i="3"/>
  <c r="M24" i="3"/>
  <c r="N24" i="3"/>
  <c r="O24" i="3"/>
  <c r="B30" i="2" l="1"/>
  <c r="J30" i="2"/>
  <c r="C30" i="2"/>
  <c r="C31" i="2" s="1"/>
  <c r="D30" i="2"/>
  <c r="B29" i="2"/>
  <c r="D29" i="2"/>
  <c r="B28" i="2"/>
  <c r="C27" i="2"/>
  <c r="J27" i="2"/>
  <c r="P27" i="2" s="1"/>
  <c r="B26" i="2"/>
  <c r="J26" i="2"/>
  <c r="C26" i="2"/>
  <c r="D26" i="2"/>
  <c r="D31" i="2" s="1"/>
  <c r="B25" i="2"/>
  <c r="K25" i="2"/>
  <c r="B24" i="2"/>
  <c r="D24" i="2"/>
  <c r="E31" i="2"/>
  <c r="F31" i="2"/>
  <c r="G31" i="2"/>
  <c r="H31" i="2"/>
  <c r="I31" i="2"/>
  <c r="J31" i="2"/>
  <c r="K31" i="2"/>
  <c r="L31" i="2"/>
  <c r="M31" i="2"/>
  <c r="N31" i="2"/>
  <c r="O31" i="2"/>
  <c r="P13" i="2"/>
  <c r="P14" i="2"/>
  <c r="P15" i="2"/>
  <c r="P16" i="2"/>
  <c r="P17" i="2"/>
  <c r="P18" i="2"/>
  <c r="P19" i="2"/>
  <c r="P20" i="2"/>
  <c r="P21" i="2"/>
  <c r="P22" i="2"/>
  <c r="P23" i="2"/>
  <c r="P24" i="2"/>
  <c r="P28" i="2"/>
  <c r="P12" i="2"/>
  <c r="P30" i="2" l="1"/>
  <c r="P29" i="2"/>
  <c r="P26" i="2"/>
  <c r="B31" i="2"/>
  <c r="P25" i="2"/>
  <c r="P31" i="2" l="1"/>
  <c r="E22" i="2" l="1"/>
  <c r="B22" i="2"/>
  <c r="B21" i="2"/>
  <c r="B20" i="2"/>
  <c r="E20" i="2"/>
  <c r="B19" i="2"/>
  <c r="B12" i="2" l="1"/>
  <c r="B18" i="2"/>
  <c r="J17" i="2"/>
  <c r="C17" i="2"/>
  <c r="B17" i="2"/>
  <c r="B16" i="2"/>
  <c r="B15" i="2"/>
  <c r="J15" i="2"/>
  <c r="C15" i="2"/>
  <c r="B14" i="2"/>
  <c r="C14" i="2"/>
  <c r="J14" i="2"/>
  <c r="B13" i="2"/>
  <c r="J12" i="2"/>
  <c r="C12" i="2"/>
  <c r="D12" i="2"/>
  <c r="P12" i="3" l="1"/>
  <c r="N42" i="12" l="1"/>
  <c r="M42" i="12"/>
  <c r="L42" i="12"/>
  <c r="H42" i="12"/>
  <c r="G42" i="12"/>
  <c r="F42" i="12"/>
  <c r="I42" i="12"/>
  <c r="O37" i="12"/>
  <c r="O36" i="12"/>
  <c r="K42" i="12"/>
  <c r="O34" i="12"/>
  <c r="O33" i="12"/>
  <c r="O32" i="12"/>
  <c r="E42" i="12"/>
  <c r="D42" i="12"/>
  <c r="C42" i="12"/>
  <c r="N43" i="11"/>
  <c r="M43" i="11"/>
  <c r="L43" i="11"/>
  <c r="I43" i="11"/>
  <c r="G43" i="11"/>
  <c r="H43" i="11"/>
  <c r="O15" i="11"/>
  <c r="O43" i="10"/>
  <c r="N43" i="10"/>
  <c r="M43" i="10"/>
  <c r="I43" i="10"/>
  <c r="H43" i="10"/>
  <c r="G43" i="10"/>
  <c r="F43" i="10"/>
  <c r="E43" i="10"/>
  <c r="D43" i="10"/>
  <c r="C43" i="10"/>
  <c r="P36" i="10"/>
  <c r="P35" i="10"/>
  <c r="P34" i="10"/>
  <c r="P33" i="10"/>
  <c r="P32" i="10"/>
  <c r="P31" i="10"/>
  <c r="P30" i="10"/>
  <c r="P13" i="10"/>
  <c r="J43" i="10"/>
  <c r="B43" i="10"/>
  <c r="F24" i="3"/>
  <c r="D21" i="1"/>
  <c r="D20" i="1"/>
  <c r="D17" i="1"/>
  <c r="C24" i="3"/>
  <c r="D15" i="1"/>
  <c r="D14" i="1"/>
  <c r="D8" i="1"/>
  <c r="E24" i="3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O31" i="12"/>
  <c r="J42" i="12"/>
  <c r="B42" i="12"/>
  <c r="C43" i="11"/>
  <c r="F43" i="11"/>
  <c r="D43" i="11"/>
  <c r="O14" i="11"/>
  <c r="B24" i="3"/>
  <c r="D13" i="1"/>
  <c r="D16" i="1"/>
  <c r="D12" i="1"/>
  <c r="B11" i="1"/>
  <c r="B13" i="1"/>
  <c r="B23" i="1"/>
  <c r="B9" i="1"/>
  <c r="L43" i="10"/>
  <c r="B43" i="11"/>
  <c r="D10" i="1"/>
  <c r="D19" i="1"/>
  <c r="D24" i="3"/>
  <c r="K43" i="11"/>
  <c r="O35" i="12"/>
  <c r="O12" i="11"/>
  <c r="O12" i="12"/>
  <c r="B7" i="1"/>
  <c r="P12" i="10"/>
  <c r="P43" i="10" s="1"/>
  <c r="O43" i="11" l="1"/>
  <c r="B25" i="1"/>
  <c r="B27" i="1" s="1"/>
  <c r="O42" i="12"/>
  <c r="D7" i="1"/>
  <c r="D25" i="1" s="1"/>
  <c r="B28" i="1" s="1"/>
  <c r="Y25" i="1" l="1"/>
  <c r="B43" i="9" l="1"/>
  <c r="O12" i="9"/>
</calcChain>
</file>

<file path=xl/sharedStrings.xml><?xml version="1.0" encoding="utf-8"?>
<sst xmlns="http://schemas.openxmlformats.org/spreadsheetml/2006/main" count="251" uniqueCount="44">
  <si>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</si>
  <si>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</si>
  <si>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</si>
  <si>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</si>
  <si>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</si>
  <si>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</si>
  <si>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</si>
  <si>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</si>
  <si>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</si>
  <si>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</si>
  <si>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</si>
  <si>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</si>
  <si>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</si>
  <si>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</si>
  <si>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</si>
  <si>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</si>
  <si>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</si>
  <si>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</si>
  <si>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</si>
  <si>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</si>
  <si>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</si>
  <si>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</si>
  <si>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</si>
  <si>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</si>
  <si>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</si>
  <si>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</si>
  <si>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</si>
  <si>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</si>
  <si>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</si>
  <si>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</si>
  <si>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</si>
  <si>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</si>
  <si>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 xml:space="preserve"> Macapá-AP, 31 de janeiro de 2023.</t>
  </si>
  <si>
    <t xml:space="preserve"> Macapá-AP, 28 de fevereiro de 2023.</t>
  </si>
  <si>
    <t>Macapá-AP, 30 de abril de 2023.</t>
  </si>
  <si>
    <t>Macapá-AP, 31 de março de 2023.</t>
  </si>
  <si>
    <t>Macapá-AP, 31 de maio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</si>
  <si>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</si>
  <si>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</si>
  <si>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</si>
  <si>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</si>
  <si>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</si>
  <si>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Credenciamento</t>
  </si>
  <si>
    <t>Taxa de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</si>
</sst>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6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8" borderId="7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  <xf numFmtId="165" fontId="1" fillId="0" borderId="5" xfId="1" applyFont="1" applyFill="1" applyBorder="1" applyAlignment="1" applyProtection="1"/>
    <xf numFmtId="165" fontId="1" fillId="0" borderId="3" xfId="1" applyFont="1" applyFill="1" applyBorder="1" applyAlignment="1" applyProtection="1"/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49" t="s">
        <v>0</v>
      </c>
      <c r="B2" s="49"/>
      <c r="C2" s="49" t="s">
        <v>0</v>
      </c>
      <c r="D2" s="49"/>
      <c r="E2" s="49" t="s">
        <v>0</v>
      </c>
      <c r="F2" s="49"/>
      <c r="G2" s="49" t="s">
        <v>0</v>
      </c>
      <c r="H2" s="49"/>
      <c r="I2" s="49" t="s">
        <v>0</v>
      </c>
      <c r="J2" s="49"/>
      <c r="K2" s="49" t="s">
        <v>0</v>
      </c>
      <c r="L2" s="49"/>
      <c r="M2" s="49" t="s">
        <v>0</v>
      </c>
      <c r="N2" s="49"/>
      <c r="O2" s="49" t="s">
        <v>0</v>
      </c>
      <c r="P2" s="49"/>
      <c r="Q2" s="49" t="s">
        <v>0</v>
      </c>
      <c r="R2" s="49"/>
      <c r="S2" s="49" t="s">
        <v>0</v>
      </c>
      <c r="T2" s="49"/>
      <c r="U2" s="49" t="s">
        <v>0</v>
      </c>
      <c r="V2" s="49"/>
      <c r="W2" s="49" t="s">
        <v>0</v>
      </c>
      <c r="X2" s="49"/>
    </row>
    <row r="3" spans="1:25" x14ac:dyDescent="0.25">
      <c r="A3" s="50">
        <v>43831</v>
      </c>
      <c r="B3" s="50"/>
      <c r="C3" s="50">
        <v>43862</v>
      </c>
      <c r="D3" s="50"/>
      <c r="E3" s="50">
        <v>43891</v>
      </c>
      <c r="F3" s="50"/>
      <c r="G3" s="50">
        <v>43922</v>
      </c>
      <c r="H3" s="50"/>
      <c r="I3" s="50">
        <v>43952</v>
      </c>
      <c r="J3" s="50"/>
      <c r="K3" s="50">
        <v>43983</v>
      </c>
      <c r="L3" s="50"/>
      <c r="M3" s="50">
        <v>44013</v>
      </c>
      <c r="N3" s="50"/>
      <c r="O3" s="50">
        <v>44044</v>
      </c>
      <c r="P3" s="50"/>
      <c r="Q3" s="50">
        <v>44075</v>
      </c>
      <c r="R3" s="50"/>
      <c r="S3" s="50">
        <v>44105</v>
      </c>
      <c r="T3" s="50"/>
      <c r="U3" s="50">
        <v>44136</v>
      </c>
      <c r="V3" s="50"/>
      <c r="W3" s="50">
        <v>44166</v>
      </c>
      <c r="X3" s="50"/>
      <c r="Y3" s="3"/>
    </row>
    <row r="4" spans="1:25" ht="15" customHeight="1" x14ac:dyDescent="0.25">
      <c r="A4" s="51"/>
      <c r="B4" s="52" t="s">
        <v>1</v>
      </c>
      <c r="C4" s="51"/>
      <c r="D4" s="52" t="s">
        <v>1</v>
      </c>
      <c r="E4" s="51"/>
      <c r="F4" s="52" t="s">
        <v>1</v>
      </c>
      <c r="G4" s="51"/>
      <c r="H4" s="52" t="s">
        <v>1</v>
      </c>
      <c r="I4" s="51"/>
      <c r="J4" s="52" t="s">
        <v>1</v>
      </c>
      <c r="K4" s="51"/>
      <c r="L4" s="52" t="s">
        <v>1</v>
      </c>
      <c r="M4" s="51"/>
      <c r="N4" s="52" t="s">
        <v>1</v>
      </c>
      <c r="O4" s="51"/>
      <c r="P4" s="52" t="s">
        <v>1</v>
      </c>
      <c r="Q4" s="51"/>
      <c r="R4" s="52" t="s">
        <v>1</v>
      </c>
      <c r="S4" s="51"/>
      <c r="T4" s="52" t="s">
        <v>1</v>
      </c>
      <c r="U4" s="51"/>
      <c r="V4" s="52" t="s">
        <v>1</v>
      </c>
      <c r="W4" s="51"/>
      <c r="X4" s="52" t="s">
        <v>1</v>
      </c>
      <c r="Y4" s="3"/>
    </row>
    <row r="5" spans="1:25" x14ac:dyDescent="0.25">
      <c r="A5" s="51"/>
      <c r="B5" s="52"/>
      <c r="C5" s="51"/>
      <c r="D5" s="52"/>
      <c r="E5" s="51"/>
      <c r="F5" s="52"/>
      <c r="G5" s="51"/>
      <c r="H5" s="52"/>
      <c r="I5" s="51"/>
      <c r="J5" s="52"/>
      <c r="K5" s="51"/>
      <c r="L5" s="52"/>
      <c r="M5" s="51"/>
      <c r="N5" s="52"/>
      <c r="O5" s="51"/>
      <c r="P5" s="52"/>
      <c r="Q5" s="51"/>
      <c r="R5" s="52"/>
      <c r="S5" s="51"/>
      <c r="T5" s="52"/>
      <c r="U5" s="51"/>
      <c r="V5" s="52"/>
      <c r="W5" s="51"/>
      <c r="X5" s="52"/>
      <c r="Y5" s="3"/>
    </row>
    <row r="6" spans="1:25" x14ac:dyDescent="0.25">
      <c r="A6" s="51"/>
      <c r="B6" s="52"/>
      <c r="C6" s="51"/>
      <c r="D6" s="52"/>
      <c r="E6" s="51"/>
      <c r="F6" s="52"/>
      <c r="G6" s="51"/>
      <c r="H6" s="52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1"/>
      <c r="V6" s="52"/>
      <c r="W6" s="51"/>
      <c r="X6" s="52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11505.760000000002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25%'!P12+'[1]JAN 25%'!P13</f>
        <v>1863.8600000000001</v>
      </c>
      <c r="C8" s="7">
        <v>44229</v>
      </c>
      <c r="D8" s="5">
        <f>'FEV 25% '!P13+'[1]FEV 25% '!P13</f>
        <v>215.75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25%'!P13+'[1]JAN 25%'!P14</f>
        <v>438.11</v>
      </c>
      <c r="C9" s="7">
        <v>44230</v>
      </c>
      <c r="D9" s="5">
        <f>'FEV 25% '!P14+'[1]FEV 25% '!P14</f>
        <v>435.2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25%'!P14+'[1]JAN 25%'!P15</f>
        <v>675.46</v>
      </c>
      <c r="C10" s="7">
        <v>44599</v>
      </c>
      <c r="D10" s="5">
        <f>'FEV 25% '!P15+'[1]FEV 25% '!P15</f>
        <v>107.49000000000001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25%'!P15+'[1]JAN 25%'!P16</f>
        <v>1094.22</v>
      </c>
      <c r="C11" s="7">
        <v>44600</v>
      </c>
      <c r="D11" s="5">
        <f>'FEV 25% '!P16+'[1]FEV 25% '!P16</f>
        <v>98.25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341.29000000000008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723.21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25%'!P16+'[1]JAN 25%'!P19</f>
        <v>473.46000000000004</v>
      </c>
      <c r="C14" s="7">
        <v>44607</v>
      </c>
      <c r="D14" s="5">
        <f>'FEV 25% '!P19+'[1]FEV 25% '!P19</f>
        <v>542.87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25%'!P17+'[1]JAN 25%'!P20</f>
        <v>841.74</v>
      </c>
      <c r="C15" s="7">
        <v>44608</v>
      </c>
      <c r="D15" s="5">
        <f>'FEV 25% '!P20+'[1]FEV 25% '!P20</f>
        <v>280.05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25%'!P18+'[1]JAN 25%'!P21</f>
        <v>430.70000000000005</v>
      </c>
      <c r="C16" s="7">
        <v>44609</v>
      </c>
      <c r="D16" s="5">
        <f>'FEV 25% '!P21+'[1]FEV 25% '!P21</f>
        <v>561.84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25%'!P19+'[1]JAN 25%'!P22</f>
        <v>489.69000000000005</v>
      </c>
      <c r="C17" s="7">
        <v>44610</v>
      </c>
      <c r="D17" s="5">
        <f>'FEV 25% '!P22+'[1]FEV 25% '!P22</f>
        <v>394.48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25%'!P20+'[1]JAN 25%'!P23</f>
        <v>409.09</v>
      </c>
      <c r="C18" s="7">
        <v>44613</v>
      </c>
      <c r="D18" s="5">
        <f>'FEV 25% '!P23+'[1]FEV 25% '!P23</f>
        <v>424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25%'!P21+'[1]JAN 25%'!P24</f>
        <v>852.8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25%'!P22+'[1]JAN 25%'!P25</f>
        <v>283.44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25%'!P23+'[1]JAN 25%'!P26</f>
        <v>403.76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U4:U6"/>
    <mergeCell ref="V4:V6"/>
    <mergeCell ref="W4:W6"/>
    <mergeCell ref="X4:X6"/>
    <mergeCell ref="P4:P6"/>
    <mergeCell ref="Q4:Q6"/>
    <mergeCell ref="R4:R6"/>
    <mergeCell ref="S4:S6"/>
    <mergeCell ref="T4:T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O2:P2"/>
    <mergeCell ref="Q2:R2"/>
    <mergeCell ref="S2:T2"/>
    <mergeCell ref="A2:B2"/>
    <mergeCell ref="C2:D2"/>
    <mergeCell ref="E2:F2"/>
    <mergeCell ref="G2:H2"/>
    <mergeCell ref="I2:J2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topLeftCell="A4" zoomScaleNormal="100" workbookViewId="0">
      <pane xSplit="1" ySplit="8" topLeftCell="B27" activePane="bottomRight" state="frozen"/>
      <selection activeCell="A4" sqref="A4"/>
      <selection pane="topRight" activeCell="B4" sqref="B4"/>
      <selection pane="bottomLeft" activeCell="A13" sqref="A13"/>
      <selection pane="bottomRight" activeCell="O29" sqref="O27:O29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3">
        <v>45200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4" customHeight="1" x14ac:dyDescent="0.2">
      <c r="A12" s="15">
        <v>45200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4" customHeight="1" x14ac:dyDescent="0.2">
      <c r="A13" s="15">
        <v>45201</v>
      </c>
      <c r="B13" s="16">
        <f>51.26</f>
        <v>51.26</v>
      </c>
      <c r="C13" s="16"/>
      <c r="D13" s="16"/>
      <c r="E13" s="16"/>
      <c r="F13" s="16"/>
      <c r="G13" s="16"/>
      <c r="H13" s="16"/>
      <c r="I13" s="16"/>
      <c r="J13" s="16">
        <f>0.62</f>
        <v>0.62</v>
      </c>
      <c r="K13" s="16">
        <f>38</f>
        <v>38</v>
      </c>
      <c r="L13" s="17"/>
      <c r="M13" s="17"/>
      <c r="N13" s="17"/>
      <c r="O13" s="5">
        <f>SUM(B13:K13)</f>
        <v>89.88</v>
      </c>
    </row>
    <row r="14" spans="1:15" ht="24" customHeight="1" x14ac:dyDescent="0.2">
      <c r="A14" s="15">
        <v>45202</v>
      </c>
      <c r="B14" s="16">
        <f>15.63</f>
        <v>15.63</v>
      </c>
      <c r="C14" s="16">
        <f>12.14+4.27+12.5+11.48+10.03</f>
        <v>50.42</v>
      </c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7"/>
      <c r="M14" s="17"/>
      <c r="N14" s="17"/>
      <c r="O14" s="5">
        <f>SUM(B14:K14)</f>
        <v>66.67</v>
      </c>
    </row>
    <row r="15" spans="1:15" ht="24" customHeight="1" x14ac:dyDescent="0.2">
      <c r="A15" s="15">
        <v>45203</v>
      </c>
      <c r="B15" s="16">
        <f>185.72+185.66</f>
        <v>371.38</v>
      </c>
      <c r="C15" s="16">
        <f>36.12</f>
        <v>36.119999999999997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>SUM(B15:K15)</f>
        <v>408.12</v>
      </c>
    </row>
    <row r="16" spans="1:15" ht="24" customHeight="1" x14ac:dyDescent="0.2">
      <c r="A16" s="15">
        <v>45204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ref="O16:O33" si="0">SUM(B16:K16)</f>
        <v>0</v>
      </c>
    </row>
    <row r="17" spans="1:15" ht="24" customHeight="1" x14ac:dyDescent="0.2">
      <c r="A17" s="15">
        <v>45205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45206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>
        <f t="shared" si="0"/>
        <v>0</v>
      </c>
    </row>
    <row r="19" spans="1:15" ht="24" customHeight="1" x14ac:dyDescent="0.2">
      <c r="A19" s="15">
        <v>45207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4" customHeight="1" x14ac:dyDescent="0.2">
      <c r="A20" s="15">
        <v>45208</v>
      </c>
      <c r="B20" s="16"/>
      <c r="C20" s="16"/>
      <c r="D20" s="16">
        <f>47.99+410.5</f>
        <v>458.49</v>
      </c>
      <c r="E20" s="16">
        <f>49.36</f>
        <v>49.36</v>
      </c>
      <c r="F20" s="16"/>
      <c r="G20" s="16">
        <f>61.75</f>
        <v>61.75</v>
      </c>
      <c r="H20" s="16"/>
      <c r="I20" s="16"/>
      <c r="J20" s="16">
        <f>0.62</f>
        <v>0.62</v>
      </c>
      <c r="K20" s="16"/>
      <c r="L20" s="17"/>
      <c r="M20" s="17"/>
      <c r="N20" s="17"/>
      <c r="O20" s="5">
        <f t="shared" si="0"/>
        <v>570.22</v>
      </c>
    </row>
    <row r="21" spans="1:15" ht="24" customHeight="1" x14ac:dyDescent="0.2">
      <c r="A21" s="15">
        <v>45209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45210</v>
      </c>
      <c r="B22" s="16"/>
      <c r="C22" s="16"/>
      <c r="D22" s="16"/>
      <c r="E22" s="16"/>
      <c r="F22" s="16"/>
      <c r="G22" s="16"/>
      <c r="H22" s="16"/>
      <c r="I22" s="16"/>
      <c r="J22" s="16"/>
      <c r="K22" s="16">
        <f>38</f>
        <v>38</v>
      </c>
      <c r="L22" s="17"/>
      <c r="M22" s="17"/>
      <c r="N22" s="17"/>
      <c r="O22" s="5">
        <f t="shared" si="0"/>
        <v>38</v>
      </c>
    </row>
    <row r="23" spans="1:15" ht="24" customHeight="1" x14ac:dyDescent="0.2">
      <c r="A23" s="15">
        <v>45211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45212</v>
      </c>
      <c r="B24" s="16">
        <f>77.24</f>
        <v>77.239999999999995</v>
      </c>
      <c r="C24" s="16">
        <f>70.83</f>
        <v>70.83</v>
      </c>
      <c r="D24" s="16"/>
      <c r="E24" s="16"/>
      <c r="F24" s="16"/>
      <c r="G24" s="16"/>
      <c r="H24" s="16"/>
      <c r="I24" s="16"/>
      <c r="J24" s="16">
        <f>0.62</f>
        <v>0.62</v>
      </c>
      <c r="K24" s="16">
        <f>38</f>
        <v>38</v>
      </c>
      <c r="L24" s="17"/>
      <c r="M24" s="17"/>
      <c r="N24" s="17"/>
      <c r="O24" s="5">
        <f t="shared" si="0"/>
        <v>186.69</v>
      </c>
    </row>
    <row r="25" spans="1:15" ht="24" customHeight="1" x14ac:dyDescent="0.2">
      <c r="A25" s="15">
        <v>45213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>
        <f t="shared" si="0"/>
        <v>0</v>
      </c>
    </row>
    <row r="26" spans="1:15" ht="24" customHeight="1" x14ac:dyDescent="0.2">
      <c r="A26" s="15">
        <v>45214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45215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45216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45217</v>
      </c>
      <c r="B29" s="16"/>
      <c r="C29" s="16"/>
      <c r="D29" s="16"/>
      <c r="E29" s="16"/>
      <c r="F29" s="16"/>
      <c r="G29" s="16"/>
      <c r="H29" s="16"/>
      <c r="I29" s="16"/>
      <c r="J29" s="16"/>
      <c r="K29" s="16">
        <f>38</f>
        <v>38</v>
      </c>
      <c r="L29" s="17"/>
      <c r="M29" s="17"/>
      <c r="N29" s="17"/>
      <c r="O29" s="5">
        <f t="shared" si="0"/>
        <v>38</v>
      </c>
    </row>
    <row r="30" spans="1:15" ht="24" customHeight="1" x14ac:dyDescent="0.2">
      <c r="A30" s="15">
        <v>45218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45219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45220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45221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45222</v>
      </c>
      <c r="B34" s="16">
        <f>13.12</f>
        <v>13.12</v>
      </c>
      <c r="C34" s="16">
        <f>12.55</f>
        <v>12.55</v>
      </c>
      <c r="D34" s="16"/>
      <c r="E34" s="16"/>
      <c r="F34" s="16"/>
      <c r="G34" s="16"/>
      <c r="H34" s="16"/>
      <c r="I34" s="16">
        <f>0.59</f>
        <v>0.59</v>
      </c>
      <c r="J34" s="16">
        <f>0.62</f>
        <v>0.62</v>
      </c>
      <c r="K34" s="16"/>
      <c r="L34" s="17"/>
      <c r="M34" s="17"/>
      <c r="N34" s="17"/>
      <c r="O34" s="5">
        <f t="shared" ref="O34:O42" si="1">SUM(B34:K34)</f>
        <v>26.880000000000003</v>
      </c>
    </row>
    <row r="35" spans="1:15" ht="24" customHeight="1" x14ac:dyDescent="0.2">
      <c r="A35" s="15">
        <v>45223</v>
      </c>
      <c r="B35" s="16">
        <f>185.66</f>
        <v>185.66</v>
      </c>
      <c r="C35" s="16">
        <f>1.24+8.89+9.69+7.6+2.48+6.81+7.92</f>
        <v>44.63</v>
      </c>
      <c r="D35" s="16">
        <f>518.46</f>
        <v>518.46</v>
      </c>
      <c r="E35" s="16"/>
      <c r="F35" s="16"/>
      <c r="G35" s="16"/>
      <c r="H35" s="16"/>
      <c r="I35" s="16">
        <f>2.79+1.88</f>
        <v>4.67</v>
      </c>
      <c r="J35" s="16">
        <f>0.62</f>
        <v>0.62</v>
      </c>
      <c r="K35" s="16">
        <f>38+38</f>
        <v>76</v>
      </c>
      <c r="L35" s="17"/>
      <c r="M35" s="17"/>
      <c r="N35" s="17"/>
      <c r="O35" s="5">
        <f t="shared" si="1"/>
        <v>830.04</v>
      </c>
    </row>
    <row r="36" spans="1:15" ht="24" customHeight="1" x14ac:dyDescent="0.2">
      <c r="A36" s="15">
        <v>45224</v>
      </c>
      <c r="B36" s="16"/>
      <c r="C36" s="16"/>
      <c r="D36" s="16">
        <f>18.86</f>
        <v>18.86</v>
      </c>
      <c r="E36" s="16">
        <f>13.32+25.96+24.34+23.46+21.37+18.4</f>
        <v>126.85000000000002</v>
      </c>
      <c r="F36" s="16"/>
      <c r="G36" s="16"/>
      <c r="H36" s="16"/>
      <c r="I36" s="16"/>
      <c r="J36" s="16">
        <f>0.62</f>
        <v>0.62</v>
      </c>
      <c r="K36" s="16"/>
      <c r="L36" s="17"/>
      <c r="M36" s="17"/>
      <c r="N36" s="17"/>
      <c r="O36" s="5">
        <f t="shared" si="1"/>
        <v>146.33000000000004</v>
      </c>
    </row>
    <row r="37" spans="1:15" ht="24" customHeight="1" x14ac:dyDescent="0.2">
      <c r="A37" s="15">
        <v>45225</v>
      </c>
      <c r="B37" s="16"/>
      <c r="C37" s="16"/>
      <c r="D37" s="16">
        <f>96.93+147</f>
        <v>243.93</v>
      </c>
      <c r="E37" s="16">
        <f>99.69+66.95+71.67+59.85</f>
        <v>298.16000000000003</v>
      </c>
      <c r="F37" s="16"/>
      <c r="G37" s="16">
        <f>61.75</f>
        <v>61.75</v>
      </c>
      <c r="H37" s="16"/>
      <c r="I37" s="16"/>
      <c r="J37" s="16">
        <f>0.62</f>
        <v>0.62</v>
      </c>
      <c r="K37" s="16">
        <f>38</f>
        <v>38</v>
      </c>
      <c r="L37" s="17"/>
      <c r="M37" s="17"/>
      <c r="N37" s="17"/>
      <c r="O37" s="5">
        <f t="shared" si="1"/>
        <v>642.46</v>
      </c>
    </row>
    <row r="38" spans="1:15" ht="24" customHeight="1" x14ac:dyDescent="0.2">
      <c r="A38" s="15">
        <v>45226</v>
      </c>
      <c r="B38" s="16"/>
      <c r="C38" s="16"/>
      <c r="D38" s="16"/>
      <c r="E38" s="16"/>
      <c r="F38" s="16">
        <f>20.5</f>
        <v>20.5</v>
      </c>
      <c r="G38" s="16"/>
      <c r="H38" s="16"/>
      <c r="I38" s="16"/>
      <c r="J38" s="16"/>
      <c r="K38" s="16">
        <f>38</f>
        <v>38</v>
      </c>
      <c r="L38" s="17"/>
      <c r="M38" s="17"/>
      <c r="N38" s="17"/>
      <c r="O38" s="5">
        <f t="shared" si="1"/>
        <v>58.5</v>
      </c>
    </row>
    <row r="39" spans="1:15" ht="24" customHeight="1" x14ac:dyDescent="0.2">
      <c r="A39" s="15">
        <v>45227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>
        <f t="shared" si="1"/>
        <v>0</v>
      </c>
    </row>
    <row r="40" spans="1:15" ht="24" customHeight="1" x14ac:dyDescent="0.2">
      <c r="A40" s="15">
        <v>45228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>
        <f t="shared" si="1"/>
        <v>0</v>
      </c>
    </row>
    <row r="41" spans="1:15" ht="24" customHeight="1" x14ac:dyDescent="0.2">
      <c r="A41" s="15">
        <v>45229</v>
      </c>
      <c r="B41" s="16">
        <f>115.44+187.42</f>
        <v>302.86</v>
      </c>
      <c r="C41" s="16">
        <f>16.06+78.43+31.62+79.26</f>
        <v>205.37</v>
      </c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>
        <f t="shared" si="1"/>
        <v>508.23</v>
      </c>
    </row>
    <row r="42" spans="1:15" ht="24" customHeight="1" x14ac:dyDescent="0.2">
      <c r="A42" s="15">
        <v>45230</v>
      </c>
      <c r="B42" s="16"/>
      <c r="C42" s="16"/>
      <c r="D42" s="16"/>
      <c r="E42" s="16">
        <f>21.37+18.4</f>
        <v>39.769999999999996</v>
      </c>
      <c r="F42" s="16"/>
      <c r="G42" s="16"/>
      <c r="H42" s="16"/>
      <c r="I42" s="16"/>
      <c r="J42" s="16">
        <f>0.62</f>
        <v>0.62</v>
      </c>
      <c r="K42" s="16">
        <f>38</f>
        <v>38</v>
      </c>
      <c r="L42" s="17"/>
      <c r="M42" s="17"/>
      <c r="N42" s="17"/>
      <c r="O42" s="5">
        <f t="shared" si="1"/>
        <v>78.389999999999986</v>
      </c>
    </row>
    <row r="43" spans="1:15" ht="24" customHeight="1" x14ac:dyDescent="0.2">
      <c r="A43" s="30" t="s">
        <v>2</v>
      </c>
      <c r="B43" s="41">
        <f t="shared" ref="B43:O43" si="2">SUM(B12:B42)</f>
        <v>1017.15</v>
      </c>
      <c r="C43" s="22">
        <f t="shared" si="2"/>
        <v>419.92</v>
      </c>
      <c r="D43" s="22">
        <f t="shared" si="2"/>
        <v>1239.74</v>
      </c>
      <c r="E43" s="22">
        <f>SUM(E12:E42)</f>
        <v>514.1400000000001</v>
      </c>
      <c r="F43" s="22">
        <f t="shared" si="2"/>
        <v>20.5</v>
      </c>
      <c r="G43" s="22">
        <f t="shared" si="2"/>
        <v>123.5</v>
      </c>
      <c r="H43" s="22">
        <f t="shared" si="2"/>
        <v>0</v>
      </c>
      <c r="I43" s="22">
        <f t="shared" si="2"/>
        <v>5.26</v>
      </c>
      <c r="J43" s="22">
        <f>SUM(J12:J42)</f>
        <v>6.2</v>
      </c>
      <c r="K43" s="22">
        <f t="shared" si="2"/>
        <v>342</v>
      </c>
      <c r="L43" s="22">
        <f t="shared" si="2"/>
        <v>0</v>
      </c>
      <c r="M43" s="22">
        <f t="shared" si="2"/>
        <v>0</v>
      </c>
      <c r="N43" s="23">
        <f t="shared" si="2"/>
        <v>0</v>
      </c>
      <c r="O43" s="5">
        <f t="shared" si="2"/>
        <v>3688.41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8"/>
      <c r="M44" s="58"/>
      <c r="N44" s="58"/>
      <c r="O44" s="58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N9:N11"/>
    <mergeCell ref="O9:O11"/>
    <mergeCell ref="A44:K44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  <ignoredErrors>
    <ignoredError sqref="O39:O4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tabSelected="1"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3">
        <v>45231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44501</v>
      </c>
      <c r="B12" s="16">
        <f>51.61</f>
        <v>51.61</v>
      </c>
      <c r="C12" s="16"/>
      <c r="D12" s="16"/>
      <c r="E12" s="16"/>
      <c r="F12" s="16"/>
      <c r="G12" s="16"/>
      <c r="H12" s="16"/>
      <c r="I12" s="16"/>
      <c r="J12" s="16">
        <f>0.62</f>
        <v>0.62</v>
      </c>
      <c r="K12" s="16">
        <f>38</f>
        <v>38</v>
      </c>
      <c r="L12" s="17"/>
      <c r="M12" s="17"/>
      <c r="N12" s="17"/>
      <c r="O12" s="5">
        <f>SUM(B12:K12)</f>
        <v>90.22999999999999</v>
      </c>
    </row>
    <row r="13" spans="1:15" ht="23.25" customHeight="1" x14ac:dyDescent="0.2">
      <c r="A13" s="15">
        <v>44502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>
        <f t="shared" ref="O13:O30" si="0">SUM(B13:K13)</f>
        <v>0</v>
      </c>
    </row>
    <row r="14" spans="1:15" ht="23.25" customHeight="1" x14ac:dyDescent="0.2">
      <c r="A14" s="15">
        <v>44503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>
        <f t="shared" si="0"/>
        <v>0</v>
      </c>
    </row>
    <row r="15" spans="1:15" ht="23.25" customHeight="1" x14ac:dyDescent="0.2">
      <c r="A15" s="15">
        <v>44504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>
        <f t="shared" si="0"/>
        <v>0</v>
      </c>
    </row>
    <row r="16" spans="1:15" ht="23.25" customHeight="1" x14ac:dyDescent="0.2">
      <c r="A16" s="15">
        <v>44505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3.25" customHeight="1" x14ac:dyDescent="0.2">
      <c r="A17" s="15">
        <v>44506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3.25" customHeight="1" x14ac:dyDescent="0.2">
      <c r="A18" s="15">
        <v>44507</v>
      </c>
      <c r="B18" s="16">
        <f>14.52+14.52+13.23</f>
        <v>42.269999999999996</v>
      </c>
      <c r="C18" s="16">
        <f>14.92+14.92+12.64</f>
        <v>42.480000000000004</v>
      </c>
      <c r="D18" s="16"/>
      <c r="E18" s="16"/>
      <c r="F18" s="16"/>
      <c r="G18" s="16"/>
      <c r="H18" s="16"/>
      <c r="I18" s="16">
        <f>0.6</f>
        <v>0.6</v>
      </c>
      <c r="J18" s="16">
        <f>0.62+0.62+0.62</f>
        <v>1.8599999999999999</v>
      </c>
      <c r="K18" s="16"/>
      <c r="L18" s="17"/>
      <c r="M18" s="17"/>
      <c r="N18" s="17"/>
      <c r="O18" s="5">
        <f t="shared" si="0"/>
        <v>87.21</v>
      </c>
    </row>
    <row r="19" spans="1:15" ht="23.25" customHeight="1" x14ac:dyDescent="0.2">
      <c r="A19" s="15">
        <v>44508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3.25" customHeight="1" x14ac:dyDescent="0.2">
      <c r="A20" s="15">
        <v>44509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>
        <f t="shared" si="0"/>
        <v>0</v>
      </c>
    </row>
    <row r="21" spans="1:15" ht="23.25" customHeight="1" x14ac:dyDescent="0.2">
      <c r="A21" s="15">
        <v>44510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3.25" customHeight="1" x14ac:dyDescent="0.2">
      <c r="A22" s="15">
        <v>44511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>
        <f t="shared" si="0"/>
        <v>0</v>
      </c>
    </row>
    <row r="23" spans="1:15" ht="23.25" customHeight="1" x14ac:dyDescent="0.2">
      <c r="A23" s="15">
        <v>44512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3.25" customHeight="1" x14ac:dyDescent="0.2">
      <c r="A24" s="15">
        <v>44513</v>
      </c>
      <c r="B24" s="16">
        <f>77.39+73.5</f>
        <v>150.88999999999999</v>
      </c>
      <c r="C24" s="16">
        <f>70.97</f>
        <v>70.97</v>
      </c>
      <c r="D24" s="16"/>
      <c r="E24" s="16"/>
      <c r="F24" s="16">
        <f>20.5</f>
        <v>20.5</v>
      </c>
      <c r="G24" s="16"/>
      <c r="H24" s="16">
        <f>20.5</f>
        <v>20.5</v>
      </c>
      <c r="I24" s="16"/>
      <c r="J24" s="16">
        <f>0.62</f>
        <v>0.62</v>
      </c>
      <c r="K24" s="16">
        <f>38+38</f>
        <v>76</v>
      </c>
      <c r="L24" s="17"/>
      <c r="M24" s="17"/>
      <c r="N24" s="17"/>
      <c r="O24" s="5">
        <f t="shared" si="0"/>
        <v>339.48</v>
      </c>
    </row>
    <row r="25" spans="1:15" ht="23.25" customHeight="1" x14ac:dyDescent="0.2">
      <c r="A25" s="15">
        <v>44514</v>
      </c>
      <c r="B25" s="16"/>
      <c r="C25" s="16">
        <f>121.56</f>
        <v>121.56</v>
      </c>
      <c r="D25" s="16"/>
      <c r="E25" s="16"/>
      <c r="F25" s="16"/>
      <c r="G25" s="16"/>
      <c r="H25" s="16"/>
      <c r="I25" s="16"/>
      <c r="J25" s="16">
        <f>0.62</f>
        <v>0.62</v>
      </c>
      <c r="K25" s="16">
        <f>38+38</f>
        <v>76</v>
      </c>
      <c r="L25" s="17"/>
      <c r="M25" s="17"/>
      <c r="N25" s="17"/>
      <c r="O25" s="5">
        <f t="shared" si="0"/>
        <v>198.18</v>
      </c>
    </row>
    <row r="26" spans="1:15" ht="23.25" customHeight="1" x14ac:dyDescent="0.2">
      <c r="A26" s="15">
        <v>44515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3.25" customHeight="1" x14ac:dyDescent="0.2">
      <c r="A27" s="15">
        <v>44516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3.25" customHeight="1" x14ac:dyDescent="0.2">
      <c r="A28" s="15">
        <v>44517</v>
      </c>
      <c r="B28" s="16">
        <f>73.5</f>
        <v>73.5</v>
      </c>
      <c r="C28" s="16"/>
      <c r="D28" s="16"/>
      <c r="E28" s="16"/>
      <c r="F28" s="16">
        <f>20.5</f>
        <v>20.5</v>
      </c>
      <c r="G28" s="16"/>
      <c r="H28" s="16">
        <f>20.5</f>
        <v>20.5</v>
      </c>
      <c r="I28" s="16"/>
      <c r="J28" s="16"/>
      <c r="K28" s="16"/>
      <c r="L28" s="17"/>
      <c r="M28" s="17"/>
      <c r="N28" s="17"/>
      <c r="O28" s="5">
        <f t="shared" si="0"/>
        <v>114.5</v>
      </c>
    </row>
    <row r="29" spans="1:15" ht="23.25" customHeight="1" x14ac:dyDescent="0.2">
      <c r="A29" s="15">
        <v>44518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>
        <f t="shared" si="0"/>
        <v>0</v>
      </c>
    </row>
    <row r="30" spans="1:15" ht="23.25" customHeight="1" x14ac:dyDescent="0.2">
      <c r="A30" s="15">
        <v>44519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3.25" customHeight="1" x14ac:dyDescent="0.2">
      <c r="A31" s="15">
        <v>44520</v>
      </c>
      <c r="B31" s="16"/>
      <c r="C31" s="16"/>
      <c r="D31" s="16">
        <v>48.67</v>
      </c>
      <c r="E31" s="16">
        <f>49.98</f>
        <v>49.98</v>
      </c>
      <c r="F31" s="16"/>
      <c r="G31" s="16"/>
      <c r="H31" s="16"/>
      <c r="I31" s="16"/>
      <c r="J31" s="16">
        <f>0.62</f>
        <v>0.62</v>
      </c>
      <c r="K31" s="16"/>
      <c r="L31" s="17"/>
      <c r="M31" s="17"/>
      <c r="N31" s="17"/>
      <c r="O31" s="5">
        <f t="shared" ref="O31:O41" si="1">SUM(B31:K31)</f>
        <v>99.27000000000001</v>
      </c>
    </row>
    <row r="32" spans="1:15" ht="24" customHeight="1" x14ac:dyDescent="0.2">
      <c r="A32" s="15">
        <v>44521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1"/>
        <v>0</v>
      </c>
    </row>
    <row r="33" spans="1:15" ht="24" customHeight="1" x14ac:dyDescent="0.2">
      <c r="A33" s="15">
        <v>44522</v>
      </c>
      <c r="B33" s="16">
        <f>13.33</f>
        <v>13.33</v>
      </c>
      <c r="C33" s="16">
        <f>12.74</f>
        <v>12.74</v>
      </c>
      <c r="D33" s="16"/>
      <c r="E33" s="16"/>
      <c r="F33" s="16"/>
      <c r="G33" s="16"/>
      <c r="H33" s="16"/>
      <c r="I33" s="16">
        <f>0.6</f>
        <v>0.6</v>
      </c>
      <c r="J33" s="16">
        <f>0.62</f>
        <v>0.62</v>
      </c>
      <c r="K33" s="16">
        <v>38</v>
      </c>
      <c r="L33" s="17"/>
      <c r="M33" s="17"/>
      <c r="N33" s="17"/>
      <c r="O33" s="5">
        <f t="shared" si="1"/>
        <v>65.290000000000006</v>
      </c>
    </row>
    <row r="34" spans="1:15" ht="24" customHeight="1" x14ac:dyDescent="0.2">
      <c r="A34" s="15">
        <v>44523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1"/>
        <v>0</v>
      </c>
    </row>
    <row r="35" spans="1:15" ht="24" customHeight="1" x14ac:dyDescent="0.2">
      <c r="A35" s="15">
        <v>44524</v>
      </c>
      <c r="B35" s="16"/>
      <c r="C35" s="16">
        <f>2.5+6.85+7.98+7.66+9.77+8.98+1.25</f>
        <v>44.989999999999995</v>
      </c>
      <c r="D35" s="16"/>
      <c r="E35" s="16"/>
      <c r="F35" s="16">
        <f>20.5</f>
        <v>20.5</v>
      </c>
      <c r="G35" s="16"/>
      <c r="H35" s="16"/>
      <c r="I35" s="16">
        <f>1.9+2.81</f>
        <v>4.71</v>
      </c>
      <c r="J35" s="16">
        <f>0.62</f>
        <v>0.62</v>
      </c>
      <c r="K35" s="16"/>
      <c r="L35" s="17"/>
      <c r="M35" s="17"/>
      <c r="N35" s="17"/>
      <c r="O35" s="5">
        <f t="shared" si="1"/>
        <v>70.819999999999993</v>
      </c>
    </row>
    <row r="36" spans="1:15" ht="24" customHeight="1" x14ac:dyDescent="0.2">
      <c r="A36" s="15">
        <v>44525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1"/>
        <v>0</v>
      </c>
    </row>
    <row r="37" spans="1:15" ht="24" customHeight="1" x14ac:dyDescent="0.2">
      <c r="A37" s="15">
        <v>44526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1"/>
        <v>0</v>
      </c>
    </row>
    <row r="38" spans="1:15" ht="24" customHeight="1" x14ac:dyDescent="0.2">
      <c r="A38" s="15">
        <v>44527</v>
      </c>
      <c r="B38" s="16">
        <f>73.5</f>
        <v>73.5</v>
      </c>
      <c r="C38" s="16"/>
      <c r="D38" s="16"/>
      <c r="E38" s="16"/>
      <c r="F38" s="16">
        <f>20.5</f>
        <v>20.5</v>
      </c>
      <c r="G38" s="16"/>
      <c r="H38" s="16">
        <f>20.5</f>
        <v>20.5</v>
      </c>
      <c r="I38" s="16"/>
      <c r="J38" s="16"/>
      <c r="K38" s="16"/>
      <c r="L38" s="17"/>
      <c r="M38" s="17"/>
      <c r="N38" s="17"/>
      <c r="O38" s="5">
        <f t="shared" si="1"/>
        <v>114.5</v>
      </c>
    </row>
    <row r="39" spans="1:15" ht="24" customHeight="1" x14ac:dyDescent="0.2">
      <c r="A39" s="15">
        <v>44528</v>
      </c>
      <c r="B39" s="16"/>
      <c r="C39" s="16"/>
      <c r="D39" s="16"/>
      <c r="E39" s="16"/>
      <c r="F39" s="16"/>
      <c r="G39" s="16"/>
      <c r="H39" s="16"/>
      <c r="I39" s="16"/>
      <c r="J39" s="16"/>
      <c r="K39" s="16">
        <f>38</f>
        <v>38</v>
      </c>
      <c r="L39" s="17"/>
      <c r="M39" s="17"/>
      <c r="N39" s="17"/>
      <c r="O39" s="5">
        <f t="shared" si="1"/>
        <v>38</v>
      </c>
    </row>
    <row r="40" spans="1:15" ht="24" customHeight="1" x14ac:dyDescent="0.2">
      <c r="A40" s="15">
        <v>44529</v>
      </c>
      <c r="B40" s="16"/>
      <c r="C40" s="16"/>
      <c r="D40" s="16">
        <f>19.04</f>
        <v>19.04</v>
      </c>
      <c r="E40" s="16">
        <f>21.55+18.57+13.4+26.14+24.52+23.64+21.55+18.57</f>
        <v>167.94</v>
      </c>
      <c r="F40" s="16"/>
      <c r="G40" s="16"/>
      <c r="H40" s="16"/>
      <c r="I40" s="16"/>
      <c r="J40" s="16">
        <f>0.62+0.62</f>
        <v>1.24</v>
      </c>
      <c r="K40" s="16">
        <f>38</f>
        <v>38</v>
      </c>
      <c r="L40" s="17"/>
      <c r="M40" s="17"/>
      <c r="N40" s="17"/>
      <c r="O40" s="5">
        <f t="shared" si="1"/>
        <v>226.22</v>
      </c>
    </row>
    <row r="41" spans="1:15" ht="24" customHeight="1" x14ac:dyDescent="0.2">
      <c r="A41" s="15">
        <v>44530</v>
      </c>
      <c r="B41" s="16"/>
      <c r="C41" s="16"/>
      <c r="D41" s="16"/>
      <c r="E41" s="16"/>
      <c r="F41" s="16"/>
      <c r="G41" s="16"/>
      <c r="H41" s="16"/>
      <c r="I41" s="16"/>
      <c r="J41" s="16"/>
      <c r="K41" s="16">
        <f>38</f>
        <v>38</v>
      </c>
      <c r="L41" s="17"/>
      <c r="M41" s="17"/>
      <c r="N41" s="17"/>
      <c r="O41" s="5">
        <f t="shared" si="1"/>
        <v>38</v>
      </c>
    </row>
    <row r="42" spans="1:15" ht="24" customHeight="1" x14ac:dyDescent="0.2">
      <c r="A42" s="30" t="s">
        <v>2</v>
      </c>
      <c r="B42" s="41">
        <f t="shared" ref="B42:O42" si="2">SUM(B12:B41)</f>
        <v>405.09999999999997</v>
      </c>
      <c r="C42" s="22">
        <f t="shared" si="2"/>
        <v>292.74</v>
      </c>
      <c r="D42" s="22">
        <f t="shared" si="2"/>
        <v>67.710000000000008</v>
      </c>
      <c r="E42" s="22">
        <f t="shared" si="2"/>
        <v>217.92</v>
      </c>
      <c r="F42" s="22">
        <f t="shared" si="2"/>
        <v>82</v>
      </c>
      <c r="G42" s="22">
        <f t="shared" si="2"/>
        <v>0</v>
      </c>
      <c r="H42" s="22">
        <f t="shared" si="2"/>
        <v>61.5</v>
      </c>
      <c r="I42" s="22">
        <f t="shared" si="2"/>
        <v>5.91</v>
      </c>
      <c r="J42" s="22">
        <f t="shared" si="2"/>
        <v>6.82</v>
      </c>
      <c r="K42" s="22">
        <f t="shared" si="2"/>
        <v>342</v>
      </c>
      <c r="L42" s="22">
        <f t="shared" si="2"/>
        <v>0</v>
      </c>
      <c r="M42" s="22">
        <f t="shared" si="2"/>
        <v>0</v>
      </c>
      <c r="N42" s="23">
        <f t="shared" si="2"/>
        <v>0</v>
      </c>
      <c r="O42" s="5">
        <f t="shared" si="2"/>
        <v>1481.7</v>
      </c>
    </row>
    <row r="43" spans="1:15" ht="12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8"/>
      <c r="M43" s="58"/>
      <c r="N43" s="58"/>
      <c r="O43" s="58"/>
    </row>
    <row r="44" spans="1:15" ht="24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</sheetData>
  <mergeCells count="18">
    <mergeCell ref="N9:N11"/>
    <mergeCell ref="O9:O11"/>
    <mergeCell ref="A43:K43"/>
    <mergeCell ref="L43:O43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scale="80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H28" sqref="H28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3">
        <v>45261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44531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3.25" customHeight="1" x14ac:dyDescent="0.2">
      <c r="A13" s="15">
        <v>44532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/>
    </row>
    <row r="14" spans="1:15" ht="23.25" customHeight="1" x14ac:dyDescent="0.2">
      <c r="A14" s="15">
        <v>44533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/>
    </row>
    <row r="15" spans="1:15" ht="23.25" customHeight="1" x14ac:dyDescent="0.2">
      <c r="A15" s="15">
        <v>44534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/>
    </row>
    <row r="16" spans="1:15" ht="23.25" customHeight="1" x14ac:dyDescent="0.2">
      <c r="A16" s="15">
        <v>44535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3.25" customHeight="1" x14ac:dyDescent="0.2">
      <c r="A17" s="15">
        <v>44536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3.25" customHeight="1" x14ac:dyDescent="0.2">
      <c r="A18" s="15">
        <v>44537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3.25" customHeight="1" x14ac:dyDescent="0.2">
      <c r="A19" s="15">
        <v>44538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3.25" customHeight="1" x14ac:dyDescent="0.2">
      <c r="A20" s="15">
        <v>44539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/>
    </row>
    <row r="21" spans="1:15" ht="23.25" customHeight="1" x14ac:dyDescent="0.2">
      <c r="A21" s="15">
        <v>44540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/>
    </row>
    <row r="22" spans="1:15" ht="23.25" customHeight="1" x14ac:dyDescent="0.2">
      <c r="A22" s="15">
        <v>44541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/>
    </row>
    <row r="23" spans="1:15" ht="23.25" customHeight="1" x14ac:dyDescent="0.2">
      <c r="A23" s="15">
        <v>44542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/>
    </row>
    <row r="24" spans="1:15" ht="23.25" customHeight="1" x14ac:dyDescent="0.2">
      <c r="A24" s="15">
        <v>44543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5"/>
    </row>
    <row r="25" spans="1:15" ht="23.25" customHeight="1" x14ac:dyDescent="0.2">
      <c r="A25" s="15">
        <v>44544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/>
    </row>
    <row r="26" spans="1:15" ht="23.25" customHeight="1" x14ac:dyDescent="0.2">
      <c r="A26" s="15">
        <v>44545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/>
    </row>
    <row r="27" spans="1:15" ht="23.25" customHeight="1" x14ac:dyDescent="0.2">
      <c r="A27" s="15">
        <v>44546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/>
    </row>
    <row r="28" spans="1:15" ht="23.25" customHeight="1" x14ac:dyDescent="0.2">
      <c r="A28" s="15">
        <v>44547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/>
    </row>
    <row r="29" spans="1:15" ht="23.25" customHeight="1" x14ac:dyDescent="0.2">
      <c r="A29" s="15">
        <v>44548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/>
    </row>
    <row r="30" spans="1:15" ht="23.25" customHeight="1" x14ac:dyDescent="0.2">
      <c r="A30" s="15">
        <v>44549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/>
    </row>
    <row r="31" spans="1:15" ht="23.25" customHeight="1" x14ac:dyDescent="0.2">
      <c r="A31" s="15">
        <v>44550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ref="O31:O38" si="0">SUM(B31:K31)</f>
        <v>0</v>
      </c>
    </row>
    <row r="32" spans="1:15" ht="24" customHeight="1" x14ac:dyDescent="0.2">
      <c r="A32" s="15">
        <v>44551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44552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44553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44554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44555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44556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44557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44558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/>
    </row>
    <row r="40" spans="1:15" ht="24" customHeight="1" x14ac:dyDescent="0.2">
      <c r="A40" s="15">
        <v>44559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/>
    </row>
    <row r="41" spans="1:15" ht="24" customHeight="1" x14ac:dyDescent="0.2">
      <c r="A41" s="15">
        <v>44560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/>
    </row>
    <row r="42" spans="1:15" ht="24" customHeight="1" x14ac:dyDescent="0.2">
      <c r="A42" s="15">
        <v>44561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7"/>
      <c r="N42" s="17"/>
      <c r="O42" s="5"/>
    </row>
    <row r="43" spans="1:15" ht="24" customHeight="1" x14ac:dyDescent="0.2">
      <c r="A43" s="30" t="s">
        <v>2</v>
      </c>
      <c r="B43" s="41">
        <f t="shared" ref="B43:O43" si="1">SUM(B12:B42)</f>
        <v>0</v>
      </c>
      <c r="C43" s="22">
        <f t="shared" si="1"/>
        <v>0</v>
      </c>
      <c r="D43" s="22">
        <f t="shared" si="1"/>
        <v>0</v>
      </c>
      <c r="E43" s="22">
        <f t="shared" si="1"/>
        <v>0</v>
      </c>
      <c r="F43" s="22">
        <f t="shared" si="1"/>
        <v>0</v>
      </c>
      <c r="G43" s="22">
        <f t="shared" si="1"/>
        <v>0</v>
      </c>
      <c r="H43" s="22">
        <f t="shared" si="1"/>
        <v>0</v>
      </c>
      <c r="I43" s="22">
        <f t="shared" si="1"/>
        <v>0</v>
      </c>
      <c r="J43" s="22">
        <f t="shared" si="1"/>
        <v>0</v>
      </c>
      <c r="K43" s="22">
        <f t="shared" si="1"/>
        <v>0</v>
      </c>
      <c r="L43" s="22">
        <f t="shared" si="1"/>
        <v>0</v>
      </c>
      <c r="M43" s="22">
        <f t="shared" si="1"/>
        <v>0</v>
      </c>
      <c r="N43" s="23">
        <f t="shared" si="1"/>
        <v>0</v>
      </c>
      <c r="O43" s="5">
        <f t="shared" si="1"/>
        <v>0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8"/>
      <c r="M44" s="58"/>
      <c r="N44" s="58"/>
      <c r="O44" s="58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A7:B7"/>
    <mergeCell ref="L9:L11"/>
    <mergeCell ref="M9:M11"/>
    <mergeCell ref="N9:N11"/>
    <mergeCell ref="O9:O11"/>
    <mergeCell ref="G9:G11"/>
    <mergeCell ref="H9:H11"/>
    <mergeCell ref="I9:I11"/>
    <mergeCell ref="J9:J11"/>
    <mergeCell ref="K9:K11"/>
    <mergeCell ref="C9:C11"/>
    <mergeCell ref="L44:O44"/>
    <mergeCell ref="A9:A11"/>
    <mergeCell ref="D9:D11"/>
    <mergeCell ref="E9:E11"/>
    <mergeCell ref="F9:F11"/>
    <mergeCell ref="B9:B11"/>
    <mergeCell ref="A44:K44"/>
  </mergeCells>
  <pageMargins left="0.39370078740157483" right="0.39370078740157483" top="0.39370078740157483" bottom="0.39370078740157483" header="0.51181102362204722" footer="0.51181102362204722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2" sqref="A2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3" t="s">
        <v>37</v>
      </c>
    </row>
    <row r="7" spans="1:18" ht="12" x14ac:dyDescent="0.2">
      <c r="A7" s="53">
        <v>44927</v>
      </c>
      <c r="B7" s="53"/>
      <c r="D7" s="14"/>
      <c r="E7" s="14"/>
      <c r="F7" s="14"/>
      <c r="G7" s="14"/>
      <c r="H7" s="14"/>
    </row>
    <row r="9" spans="1:18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8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8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8" ht="24" customHeight="1" x14ac:dyDescent="0.2">
      <c r="A12" s="15">
        <v>44929</v>
      </c>
      <c r="B12" s="16">
        <f>124.95+124.95+124.95+124.95+124.95</f>
        <v>624.75</v>
      </c>
      <c r="C12" s="16">
        <f>78.06+3.22+10.57+10.01+14.66+5.37+11.92+14.31+16.19+17.68+18.12+7.65+19.47</f>
        <v>227.23000000000002</v>
      </c>
      <c r="D12" s="16">
        <f>348.92+348.92</f>
        <v>697.84</v>
      </c>
      <c r="E12" s="16"/>
      <c r="F12" s="16"/>
      <c r="G12" s="16"/>
      <c r="H12" s="16"/>
      <c r="I12" s="16"/>
      <c r="J12" s="16">
        <f>0.62+0.62+0.62</f>
        <v>1.8599999999999999</v>
      </c>
      <c r="K12" s="16"/>
      <c r="L12" s="16"/>
      <c r="M12" s="17"/>
      <c r="N12" s="17"/>
      <c r="O12" s="17"/>
      <c r="P12" s="5">
        <f>SUM(B12:L12)</f>
        <v>1551.68</v>
      </c>
      <c r="R12" s="44"/>
    </row>
    <row r="13" spans="1:18" ht="24" customHeight="1" x14ac:dyDescent="0.2">
      <c r="A13" s="15">
        <v>44930</v>
      </c>
      <c r="B13" s="18">
        <f>124.95+62.48+124.95</f>
        <v>312.38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ref="P13:P30" si="0">SUM(B13:L13)</f>
        <v>312.38</v>
      </c>
    </row>
    <row r="14" spans="1:18" ht="24" customHeight="1" x14ac:dyDescent="0.2">
      <c r="A14" s="15">
        <v>44931</v>
      </c>
      <c r="B14" s="18">
        <f>124.95+124.95</f>
        <v>249.9</v>
      </c>
      <c r="C14" s="18">
        <f>28.16+26.91+36.85+42.01+43.1+39.91+35.32+28.99</f>
        <v>281.25</v>
      </c>
      <c r="D14" s="18"/>
      <c r="E14" s="18"/>
      <c r="F14" s="18"/>
      <c r="G14" s="18"/>
      <c r="H14" s="18"/>
      <c r="I14" s="18"/>
      <c r="J14" s="18">
        <f>0.62</f>
        <v>0.62</v>
      </c>
      <c r="K14" s="18"/>
      <c r="L14" s="18"/>
      <c r="M14" s="17"/>
      <c r="N14" s="17"/>
      <c r="O14" s="17"/>
      <c r="P14" s="5">
        <f t="shared" si="0"/>
        <v>531.77</v>
      </c>
    </row>
    <row r="15" spans="1:18" ht="24" customHeight="1" x14ac:dyDescent="0.2">
      <c r="A15" s="15">
        <v>44932</v>
      </c>
      <c r="B15" s="18">
        <f>124.95+29.4</f>
        <v>154.35</v>
      </c>
      <c r="C15" s="18">
        <f>104.21+172.99+166.04+165.18+153.04+27.13+39.54</f>
        <v>828.13</v>
      </c>
      <c r="D15" s="18"/>
      <c r="E15" s="18"/>
      <c r="F15" s="18"/>
      <c r="G15" s="18"/>
      <c r="H15" s="18"/>
      <c r="I15" s="18"/>
      <c r="J15" s="18">
        <f>0.62+0.62</f>
        <v>1.24</v>
      </c>
      <c r="K15" s="18"/>
      <c r="L15" s="18"/>
      <c r="M15" s="17"/>
      <c r="N15" s="17"/>
      <c r="O15" s="17"/>
      <c r="P15" s="5">
        <f t="shared" si="0"/>
        <v>983.72</v>
      </c>
    </row>
    <row r="16" spans="1:18" ht="24" customHeight="1" x14ac:dyDescent="0.2">
      <c r="A16" s="15">
        <v>44935</v>
      </c>
      <c r="B16" s="18">
        <f>124.95+124.95</f>
        <v>249.9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249.9</v>
      </c>
    </row>
    <row r="17" spans="1:19" ht="24" customHeight="1" x14ac:dyDescent="0.2">
      <c r="A17" s="15">
        <v>44936</v>
      </c>
      <c r="B17" s="18">
        <f>124.95+29.4</f>
        <v>154.35</v>
      </c>
      <c r="C17" s="18">
        <f>31.63+26.38</f>
        <v>58.01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212.98</v>
      </c>
    </row>
    <row r="18" spans="1:19" ht="24" customHeight="1" x14ac:dyDescent="0.2">
      <c r="A18" s="15">
        <v>44937</v>
      </c>
      <c r="B18" s="18">
        <f>124.95</f>
        <v>124.95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124.95</v>
      </c>
    </row>
    <row r="19" spans="1:19" ht="24" customHeight="1" x14ac:dyDescent="0.2">
      <c r="A19" s="15">
        <v>44938</v>
      </c>
      <c r="B19" s="18">
        <f>124.95+29.4</f>
        <v>154.35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154.35</v>
      </c>
    </row>
    <row r="20" spans="1:19" ht="24" customHeight="1" x14ac:dyDescent="0.2">
      <c r="A20" s="15">
        <v>44942</v>
      </c>
      <c r="B20" s="18">
        <f>29.4+29.4+29.4</f>
        <v>88.199999999999989</v>
      </c>
      <c r="C20" s="18"/>
      <c r="D20" s="18"/>
      <c r="E20" s="18">
        <f>294.59</f>
        <v>294.58999999999997</v>
      </c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382.78999999999996</v>
      </c>
    </row>
    <row r="21" spans="1:19" ht="24" customHeight="1" x14ac:dyDescent="0.2">
      <c r="A21" s="15">
        <v>44943</v>
      </c>
      <c r="B21" s="18">
        <f>124.95+29.4+124.95+124.95</f>
        <v>404.25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404.25</v>
      </c>
    </row>
    <row r="22" spans="1:19" ht="24" customHeight="1" x14ac:dyDescent="0.2">
      <c r="A22" s="15">
        <v>44944</v>
      </c>
      <c r="B22" s="18">
        <f>14.7</f>
        <v>14.7</v>
      </c>
      <c r="C22" s="18"/>
      <c r="D22" s="18"/>
      <c r="E22" s="18">
        <f>20.09+24.47</f>
        <v>44.56</v>
      </c>
      <c r="F22" s="18"/>
      <c r="G22" s="18"/>
      <c r="H22" s="18"/>
      <c r="I22" s="18"/>
      <c r="J22" s="18">
        <v>0.62</v>
      </c>
      <c r="K22" s="18"/>
      <c r="L22" s="18"/>
      <c r="M22" s="17"/>
      <c r="N22" s="17"/>
      <c r="O22" s="17"/>
      <c r="P22" s="5">
        <f t="shared" si="0"/>
        <v>59.88</v>
      </c>
    </row>
    <row r="23" spans="1:19" ht="24" customHeight="1" x14ac:dyDescent="0.2">
      <c r="A23" s="15">
        <v>44945</v>
      </c>
      <c r="B23" s="18">
        <v>124.95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124.95</v>
      </c>
    </row>
    <row r="24" spans="1:19" ht="24" customHeight="1" x14ac:dyDescent="0.2">
      <c r="A24" s="15">
        <v>44946</v>
      </c>
      <c r="B24" s="18">
        <f>124.95+29.4+124.95+124.95</f>
        <v>404.25</v>
      </c>
      <c r="C24" s="18"/>
      <c r="D24" s="18">
        <f>173.61</f>
        <v>173.61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577.86</v>
      </c>
    </row>
    <row r="25" spans="1:19" ht="24" customHeight="1" x14ac:dyDescent="0.2">
      <c r="A25" s="15">
        <v>44949</v>
      </c>
      <c r="B25" s="18">
        <f>124.95</f>
        <v>124.95</v>
      </c>
      <c r="C25" s="18"/>
      <c r="D25" s="18"/>
      <c r="E25" s="18"/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162.94999999999999</v>
      </c>
    </row>
    <row r="26" spans="1:19" ht="24" customHeight="1" x14ac:dyDescent="0.2">
      <c r="A26" s="15">
        <v>44950</v>
      </c>
      <c r="B26" s="18">
        <f>29.4+29.4+124.95+124.95</f>
        <v>308.7</v>
      </c>
      <c r="C26" s="18">
        <f>20.26+23.15+15.69</f>
        <v>59.099999999999994</v>
      </c>
      <c r="D26" s="18">
        <f>173.61</f>
        <v>173.61</v>
      </c>
      <c r="E26" s="18"/>
      <c r="F26" s="18"/>
      <c r="G26" s="18"/>
      <c r="H26" s="18"/>
      <c r="I26" s="18"/>
      <c r="J26" s="18">
        <f>0.62</f>
        <v>0.62</v>
      </c>
      <c r="K26" s="18">
        <v>38</v>
      </c>
      <c r="L26" s="18"/>
      <c r="M26" s="17"/>
      <c r="N26" s="17"/>
      <c r="O26" s="17"/>
      <c r="P26" s="5">
        <f t="shared" si="0"/>
        <v>580.03</v>
      </c>
    </row>
    <row r="27" spans="1:19" ht="24" customHeight="1" x14ac:dyDescent="0.2">
      <c r="A27" s="15">
        <v>44951</v>
      </c>
      <c r="B27" s="18"/>
      <c r="C27" s="18">
        <f>16.26+15.98+15.12+14.76+13.52</f>
        <v>75.64</v>
      </c>
      <c r="D27" s="18"/>
      <c r="E27" s="18"/>
      <c r="F27" s="18"/>
      <c r="G27" s="18"/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76.260000000000005</v>
      </c>
    </row>
    <row r="28" spans="1:19" ht="24" customHeight="1" x14ac:dyDescent="0.2">
      <c r="A28" s="15">
        <v>44952</v>
      </c>
      <c r="B28" s="18">
        <f>124.95</f>
        <v>124.95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124.95</v>
      </c>
    </row>
    <row r="29" spans="1:19" ht="24" customHeight="1" x14ac:dyDescent="0.2">
      <c r="A29" s="15">
        <v>44953</v>
      </c>
      <c r="B29" s="18">
        <f>29.4+124.95+124.95</f>
        <v>279.3</v>
      </c>
      <c r="C29" s="18"/>
      <c r="D29" s="18">
        <f>173.61</f>
        <v>173.61</v>
      </c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452.91</v>
      </c>
    </row>
    <row r="30" spans="1:19" ht="24" customHeight="1" x14ac:dyDescent="0.2">
      <c r="A30" s="15">
        <v>44957</v>
      </c>
      <c r="B30" s="18">
        <f>124.95+124.95+124.95+124.95+124.95+124.95+124.95+14.7+29.4</f>
        <v>918.75000000000011</v>
      </c>
      <c r="C30" s="18">
        <f>31.67</f>
        <v>31.67</v>
      </c>
      <c r="D30" s="18">
        <f>173.61+173.61+40.85+82.1</f>
        <v>470.17000000000007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1421.21</v>
      </c>
    </row>
    <row r="31" spans="1:19" ht="24" customHeight="1" x14ac:dyDescent="0.2">
      <c r="A31" s="19" t="s">
        <v>2</v>
      </c>
      <c r="B31" s="20">
        <f>SUM(B12:B30)</f>
        <v>4817.9299999999994</v>
      </c>
      <c r="C31" s="20">
        <f t="shared" ref="C31:O31" si="1">SUM(C12:C30)</f>
        <v>1561.0300000000002</v>
      </c>
      <c r="D31" s="20">
        <f t="shared" si="1"/>
        <v>1688.8400000000001</v>
      </c>
      <c r="E31" s="20">
        <f t="shared" si="1"/>
        <v>339.15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6.82</v>
      </c>
      <c r="K31" s="20">
        <f t="shared" si="1"/>
        <v>76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4">
        <f>SUM(P12:P30)</f>
        <v>8489.77</v>
      </c>
      <c r="S31" s="44"/>
    </row>
    <row r="32" spans="1:19" ht="12.7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8" t="s">
        <v>32</v>
      </c>
      <c r="M32" s="58"/>
      <c r="N32" s="58"/>
      <c r="O32" s="58"/>
      <c r="P32" s="58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O9:O11"/>
    <mergeCell ref="P9:P11"/>
    <mergeCell ref="L32:P32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P21" sqref="P2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3" t="s">
        <v>37</v>
      </c>
    </row>
    <row r="7" spans="1:17" ht="12" x14ac:dyDescent="0.2">
      <c r="A7" s="53">
        <v>44958</v>
      </c>
      <c r="B7" s="53"/>
      <c r="D7" s="14"/>
      <c r="E7" s="14"/>
      <c r="F7" s="14"/>
      <c r="G7" s="14"/>
      <c r="H7" s="14"/>
    </row>
    <row r="9" spans="1:17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7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7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7" ht="23.25" customHeight="1" x14ac:dyDescent="0.2">
      <c r="A12" s="28">
        <v>44958</v>
      </c>
      <c r="B12" s="16">
        <f>124.95+29.4+29.4+124.95+29.4+29.4+29.4+124.95+124.95+29.4+29.4+29.4+29.4+124.95+124.95+124.95+124.95+29.4+124.95+29.4+124.95+124.95+29.4+124.95+29.4+62.48+29.4+29.4+29.4+29.4+124.95</f>
        <v>2186.6300000000006</v>
      </c>
      <c r="C12" s="16">
        <f>3.24+10.64+10.08+14.76+5.4+12.02+27.62</f>
        <v>83.76</v>
      </c>
      <c r="D12" s="16">
        <f>82.1+82.1+173.61+348.92+348.92+123.3+348.92+348.92+173.61+82.1+348.92</f>
        <v>2461.42</v>
      </c>
      <c r="E12" s="16"/>
      <c r="F12" s="16"/>
      <c r="G12" s="16"/>
      <c r="H12" s="16"/>
      <c r="I12" s="16"/>
      <c r="J12" s="16">
        <f>0.62+0.62</f>
        <v>1.24</v>
      </c>
      <c r="K12" s="16">
        <f>38+38</f>
        <v>76</v>
      </c>
      <c r="L12" s="16"/>
      <c r="M12" s="17"/>
      <c r="N12" s="17"/>
      <c r="O12" s="17"/>
      <c r="P12" s="5">
        <f t="shared" ref="P12:P23" si="0">SUM(B12:L12)</f>
        <v>4809.0500000000011</v>
      </c>
      <c r="Q12" s="29"/>
    </row>
    <row r="13" spans="1:17" ht="24" customHeight="1" x14ac:dyDescent="0.2">
      <c r="A13" s="30">
        <v>44959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v>38</v>
      </c>
      <c r="L13" s="16"/>
      <c r="M13" s="17"/>
      <c r="N13" s="17"/>
      <c r="O13" s="17"/>
      <c r="P13" s="5">
        <f t="shared" si="0"/>
        <v>126.19999999999999</v>
      </c>
      <c r="Q13" s="29"/>
    </row>
    <row r="14" spans="1:17" ht="24" customHeight="1" x14ac:dyDescent="0.2">
      <c r="A14" s="28">
        <v>44960</v>
      </c>
      <c r="B14" s="18"/>
      <c r="C14" s="18"/>
      <c r="D14" s="18">
        <v>369.45</v>
      </c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369.45</v>
      </c>
      <c r="Q14" s="29"/>
    </row>
    <row r="15" spans="1:17" ht="24" customHeight="1" x14ac:dyDescent="0.2">
      <c r="A15" s="30">
        <v>44963</v>
      </c>
      <c r="B15" s="18">
        <f>36.75</f>
        <v>36.75</v>
      </c>
      <c r="C15" s="18">
        <f>40.13</f>
        <v>40.130000000000003</v>
      </c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77.5</v>
      </c>
      <c r="Q15" s="29"/>
    </row>
    <row r="16" spans="1:17" ht="24" customHeight="1" x14ac:dyDescent="0.2">
      <c r="A16" s="28">
        <v>44966</v>
      </c>
      <c r="B16" s="18"/>
      <c r="C16" s="18">
        <f>26.75</f>
        <v>26.75</v>
      </c>
      <c r="D16" s="18"/>
      <c r="E16" s="18"/>
      <c r="F16" s="18"/>
      <c r="G16" s="18"/>
      <c r="H16" s="18"/>
      <c r="I16" s="18"/>
      <c r="J16" s="18">
        <f>0.62</f>
        <v>0.62</v>
      </c>
      <c r="K16" s="18">
        <v>38</v>
      </c>
      <c r="L16" s="18"/>
      <c r="M16" s="17"/>
      <c r="N16" s="17"/>
      <c r="O16" s="17"/>
      <c r="P16" s="5">
        <f t="shared" si="0"/>
        <v>65.37</v>
      </c>
      <c r="Q16" s="29"/>
    </row>
    <row r="17" spans="1:20" ht="24" customHeight="1" x14ac:dyDescent="0.2">
      <c r="A17" s="30">
        <v>44967</v>
      </c>
      <c r="B17" s="18">
        <f>29.4</f>
        <v>29.4</v>
      </c>
      <c r="C17" s="18">
        <f>53.5+53.5</f>
        <v>107</v>
      </c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7"/>
      <c r="N17" s="17"/>
      <c r="O17" s="17"/>
      <c r="P17" s="5">
        <f t="shared" si="0"/>
        <v>137.64000000000001</v>
      </c>
      <c r="Q17" s="29"/>
    </row>
    <row r="18" spans="1:20" ht="24" customHeight="1" x14ac:dyDescent="0.2">
      <c r="A18" s="28">
        <v>44970</v>
      </c>
      <c r="B18" s="18">
        <f>29.4</f>
        <v>29.4</v>
      </c>
      <c r="C18" s="18"/>
      <c r="D18" s="18"/>
      <c r="E18" s="18"/>
      <c r="F18" s="18"/>
      <c r="G18" s="18"/>
      <c r="H18" s="18"/>
      <c r="I18" s="18"/>
      <c r="J18" s="18"/>
      <c r="K18" s="18">
        <v>28.75</v>
      </c>
      <c r="L18" s="18"/>
      <c r="M18" s="17"/>
      <c r="N18" s="17"/>
      <c r="O18" s="17"/>
      <c r="P18" s="5">
        <f t="shared" si="0"/>
        <v>58.15</v>
      </c>
      <c r="Q18" s="29"/>
    </row>
    <row r="19" spans="1:20" ht="24" customHeight="1" x14ac:dyDescent="0.2">
      <c r="A19" s="30">
        <v>44971</v>
      </c>
      <c r="B19" s="18"/>
      <c r="C19" s="18">
        <f>2.37+6.46+7.5+7.16+9.05+8.26+1.12</f>
        <v>41.919999999999995</v>
      </c>
      <c r="E19" s="18"/>
      <c r="F19" s="18"/>
      <c r="G19" s="18"/>
      <c r="H19" s="18"/>
      <c r="I19" s="18">
        <f>1.8+2.63</f>
        <v>4.43</v>
      </c>
      <c r="J19" s="18">
        <f>0.62</f>
        <v>0.62</v>
      </c>
      <c r="K19" s="18"/>
      <c r="L19" s="18"/>
      <c r="M19" s="17"/>
      <c r="N19" s="17"/>
      <c r="O19" s="17"/>
      <c r="P19" s="5">
        <f t="shared" si="0"/>
        <v>46.969999999999992</v>
      </c>
      <c r="Q19" s="29"/>
    </row>
    <row r="20" spans="1:20" ht="24" customHeight="1" x14ac:dyDescent="0.2">
      <c r="A20" s="28">
        <v>44973</v>
      </c>
      <c r="B20" s="18">
        <f>132.3+29.4</f>
        <v>161.70000000000002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161.70000000000002</v>
      </c>
      <c r="Q20" s="29"/>
    </row>
    <row r="21" spans="1:20" ht="24" customHeight="1" x14ac:dyDescent="0.2">
      <c r="A21" s="28">
        <v>44981</v>
      </c>
      <c r="B21" s="18">
        <f>29.4+36.75</f>
        <v>66.150000000000006</v>
      </c>
      <c r="C21" s="18">
        <f>4.95+4.73+6.46+7.38+7.58+7.02+6.22+5.12</f>
        <v>49.46</v>
      </c>
      <c r="D21" s="18">
        <f>369.45</f>
        <v>369.45</v>
      </c>
      <c r="E21" s="18"/>
      <c r="F21" s="18"/>
      <c r="G21" s="18"/>
      <c r="H21" s="18"/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485.68</v>
      </c>
      <c r="Q21" s="29"/>
    </row>
    <row r="22" spans="1:20" ht="24" customHeight="1" x14ac:dyDescent="0.2">
      <c r="A22" s="28">
        <v>44984</v>
      </c>
      <c r="B22" s="18">
        <v>161.69999999999999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161.69999999999999</v>
      </c>
      <c r="Q22" s="29"/>
    </row>
    <row r="23" spans="1:20" ht="24" customHeight="1" x14ac:dyDescent="0.2">
      <c r="A23" s="28">
        <v>44985</v>
      </c>
      <c r="B23" s="18">
        <f>73.5+132.3+29.4+14.7</f>
        <v>249.9</v>
      </c>
      <c r="C23" s="18"/>
      <c r="D23" s="18">
        <v>40.85</v>
      </c>
      <c r="E23" s="18"/>
      <c r="F23" s="18">
        <f>20.5</f>
        <v>20.5</v>
      </c>
      <c r="G23" s="18"/>
      <c r="H23" s="18">
        <f>20.5</f>
        <v>20.5</v>
      </c>
      <c r="I23" s="18"/>
      <c r="J23" s="18"/>
      <c r="K23" s="18"/>
      <c r="L23" s="18"/>
      <c r="M23" s="17"/>
      <c r="N23" s="17"/>
      <c r="O23" s="17"/>
      <c r="P23" s="5">
        <f t="shared" si="0"/>
        <v>331.75</v>
      </c>
      <c r="Q23" s="29"/>
    </row>
    <row r="24" spans="1:20" ht="24" customHeight="1" x14ac:dyDescent="0.2">
      <c r="A24" s="31" t="s">
        <v>2</v>
      </c>
      <c r="B24" s="20">
        <f t="shared" ref="B24:P24" si="1">SUM(B12:B23)</f>
        <v>3009.8300000000004</v>
      </c>
      <c r="C24" s="21">
        <f t="shared" si="1"/>
        <v>349.02</v>
      </c>
      <c r="D24" s="21">
        <f t="shared" si="1"/>
        <v>3241.1699999999996</v>
      </c>
      <c r="E24" s="21">
        <f t="shared" si="1"/>
        <v>0</v>
      </c>
      <c r="F24" s="21">
        <f t="shared" si="1"/>
        <v>20.5</v>
      </c>
      <c r="G24" s="21">
        <f t="shared" si="1"/>
        <v>0</v>
      </c>
      <c r="H24" s="21">
        <f t="shared" si="1"/>
        <v>20.5</v>
      </c>
      <c r="I24" s="21">
        <f t="shared" si="1"/>
        <v>4.43</v>
      </c>
      <c r="J24" s="21">
        <f t="shared" si="1"/>
        <v>4.96</v>
      </c>
      <c r="K24" s="21">
        <f t="shared" si="1"/>
        <v>180.75</v>
      </c>
      <c r="L24" s="21">
        <f t="shared" si="1"/>
        <v>0</v>
      </c>
      <c r="M24" s="21">
        <f t="shared" si="1"/>
        <v>0</v>
      </c>
      <c r="N24" s="21">
        <f t="shared" si="1"/>
        <v>0</v>
      </c>
      <c r="O24" s="21">
        <f t="shared" si="1"/>
        <v>0</v>
      </c>
      <c r="P24" s="24">
        <f t="shared" si="1"/>
        <v>6831.1600000000008</v>
      </c>
      <c r="Q24" s="29"/>
      <c r="T24" s="44"/>
    </row>
    <row r="25" spans="1:20" ht="12.7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8" t="s">
        <v>33</v>
      </c>
      <c r="M25" s="58"/>
      <c r="N25" s="58"/>
      <c r="O25" s="58"/>
      <c r="P25" s="58"/>
    </row>
    <row r="26" spans="1:20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20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8">
    <mergeCell ref="O9:O11"/>
    <mergeCell ref="P9:P11"/>
    <mergeCell ref="L25:P25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51180555555555596" right="0.51180555555555596" top="0.39374999999999999" bottom="0.39374999999999999" header="0.511811023622047" footer="0.511811023622047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37</v>
      </c>
    </row>
    <row r="7" spans="1:16" ht="12" x14ac:dyDescent="0.2">
      <c r="A7" s="53">
        <v>44986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1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58" t="s">
        <v>35</v>
      </c>
      <c r="N33" s="58"/>
      <c r="O33" s="58"/>
      <c r="P33" s="58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</sheetData>
  <mergeCells count="18">
    <mergeCell ref="O9:O11"/>
    <mergeCell ref="P9:P11"/>
    <mergeCell ref="M33:P3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39</v>
      </c>
    </row>
    <row r="7" spans="1:16" ht="12" x14ac:dyDescent="0.2">
      <c r="A7" s="53">
        <v>45017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45019</v>
      </c>
      <c r="B12" s="33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8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8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30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30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30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30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30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30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30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30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6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7" customFormat="1" ht="24" customHeight="1" x14ac:dyDescent="0.2">
      <c r="A27" s="31" t="s">
        <v>2</v>
      </c>
      <c r="B27" s="34">
        <f t="shared" ref="B27:P27" si="1">SUM(B12:B26)</f>
        <v>1427.1300000000003</v>
      </c>
      <c r="C27" s="34">
        <f t="shared" si="1"/>
        <v>209.2</v>
      </c>
      <c r="D27" s="34">
        <f t="shared" si="1"/>
        <v>1572.5399999999997</v>
      </c>
      <c r="E27" s="34">
        <f t="shared" si="1"/>
        <v>641.27</v>
      </c>
      <c r="F27" s="34">
        <f t="shared" si="1"/>
        <v>102.5</v>
      </c>
      <c r="G27" s="34">
        <f t="shared" si="1"/>
        <v>0</v>
      </c>
      <c r="H27" s="34">
        <f t="shared" si="1"/>
        <v>59.5</v>
      </c>
      <c r="I27" s="34">
        <f t="shared" si="1"/>
        <v>4.49</v>
      </c>
      <c r="J27" s="34">
        <f t="shared" si="1"/>
        <v>4.34</v>
      </c>
      <c r="K27" s="34">
        <f t="shared" si="1"/>
        <v>522.75</v>
      </c>
      <c r="L27" s="34">
        <f t="shared" si="1"/>
        <v>0</v>
      </c>
      <c r="M27" s="35">
        <f t="shared" si="1"/>
        <v>0</v>
      </c>
      <c r="N27" s="35">
        <f t="shared" si="1"/>
        <v>0</v>
      </c>
      <c r="O27" s="35">
        <f t="shared" si="1"/>
        <v>0</v>
      </c>
      <c r="P27" s="36">
        <f t="shared" si="1"/>
        <v>4543.7199999999993</v>
      </c>
      <c r="R27" s="38"/>
    </row>
    <row r="28" spans="1:18" x14ac:dyDescent="0.2">
      <c r="A28" s="25"/>
      <c r="B28" s="32" t="s">
        <v>38</v>
      </c>
      <c r="C28" s="32"/>
      <c r="D28" s="32" t="s">
        <v>38</v>
      </c>
      <c r="E28" s="32"/>
      <c r="F28" s="32" t="s">
        <v>38</v>
      </c>
      <c r="G28" s="32"/>
      <c r="H28" s="32" t="s">
        <v>38</v>
      </c>
      <c r="I28" s="32" t="s">
        <v>38</v>
      </c>
      <c r="J28" s="32" t="s">
        <v>38</v>
      </c>
      <c r="K28" s="32" t="s">
        <v>38</v>
      </c>
      <c r="L28" s="32"/>
      <c r="M28" s="58" t="s">
        <v>34</v>
      </c>
      <c r="N28" s="58"/>
      <c r="O28" s="58"/>
      <c r="P28" s="58"/>
    </row>
    <row r="29" spans="1:18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8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M28:P28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37</v>
      </c>
    </row>
    <row r="7" spans="1:16" ht="12" x14ac:dyDescent="0.2">
      <c r="A7" s="53">
        <v>45047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8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8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30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30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30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30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30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30" t="s">
        <v>2</v>
      </c>
      <c r="B31" s="39">
        <f t="shared" ref="B31:P31" si="1">SUM(B12:B30)</f>
        <v>2008.21</v>
      </c>
      <c r="C31" s="39">
        <f t="shared" si="1"/>
        <v>465.18</v>
      </c>
      <c r="D31" s="39">
        <f t="shared" si="1"/>
        <v>4333.99</v>
      </c>
      <c r="E31" s="39">
        <f t="shared" si="1"/>
        <v>663.77</v>
      </c>
      <c r="F31" s="39">
        <f t="shared" si="1"/>
        <v>41</v>
      </c>
      <c r="G31" s="39">
        <f t="shared" si="1"/>
        <v>308.75</v>
      </c>
      <c r="H31" s="39">
        <f t="shared" si="1"/>
        <v>20.5</v>
      </c>
      <c r="I31" s="39">
        <f t="shared" si="1"/>
        <v>60.69</v>
      </c>
      <c r="J31" s="39">
        <f t="shared" si="1"/>
        <v>11.18</v>
      </c>
      <c r="K31" s="39">
        <f t="shared" si="1"/>
        <v>190</v>
      </c>
      <c r="L31" s="39">
        <f t="shared" si="1"/>
        <v>0</v>
      </c>
      <c r="M31" s="22">
        <f t="shared" si="1"/>
        <v>0</v>
      </c>
      <c r="N31" s="22">
        <f t="shared" si="1"/>
        <v>0</v>
      </c>
      <c r="O31" s="22">
        <f t="shared" si="1"/>
        <v>0</v>
      </c>
      <c r="P31" s="40">
        <f t="shared" si="1"/>
        <v>8103.27</v>
      </c>
      <c r="R31" s="29"/>
    </row>
    <row r="32" spans="1:18" ht="12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9" t="s">
        <v>36</v>
      </c>
      <c r="M32" s="59"/>
      <c r="N32" s="59"/>
      <c r="O32" s="59"/>
      <c r="P32" s="59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L32:P32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pane xSplit="1" ySplit="1" topLeftCell="B5" activePane="bottomRight" state="frozen"/>
      <selection activeCell="A4" sqref="A4"/>
      <selection pane="topRight" activeCell="W4" sqref="W4"/>
      <selection pane="bottomLeft" activeCell="A25" sqref="A25"/>
      <selection pane="bottomRight" activeCell="A5" sqref="A5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3" t="s">
        <v>37</v>
      </c>
    </row>
    <row r="6" spans="1:18" ht="11.25" x14ac:dyDescent="0.2"/>
    <row r="7" spans="1:18" ht="12" x14ac:dyDescent="0.2">
      <c r="A7" s="53">
        <v>45078</v>
      </c>
      <c r="B7" s="53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42</v>
      </c>
      <c r="L9" s="55" t="s">
        <v>40</v>
      </c>
      <c r="M9" s="55" t="s">
        <v>25</v>
      </c>
      <c r="N9" s="55" t="s">
        <v>26</v>
      </c>
      <c r="O9" s="56" t="s">
        <v>27</v>
      </c>
      <c r="P9" s="56" t="s">
        <v>28</v>
      </c>
      <c r="Q9" s="56" t="s">
        <v>29</v>
      </c>
      <c r="R9" s="57" t="s">
        <v>1</v>
      </c>
    </row>
    <row r="10" spans="1:18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6"/>
      <c r="P10" s="56"/>
      <c r="Q10" s="56"/>
      <c r="R10" s="57"/>
    </row>
    <row r="11" spans="1:18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56"/>
      <c r="Q11" s="56"/>
      <c r="R11" s="57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 t="shared" ref="R12:R25" si="0"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 t="shared" si="0"/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 t="shared" si="0"/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 t="shared" si="0"/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 t="shared" si="0"/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 t="shared" si="0"/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 t="shared" si="0"/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 t="shared" si="0"/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 t="shared" si="0"/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 t="shared" si="0"/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 t="shared" si="0"/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 t="shared" si="0"/>
        <v>77.039999999999992</v>
      </c>
    </row>
    <row r="26" spans="1:20" ht="24" customHeight="1" x14ac:dyDescent="0.2">
      <c r="A26" s="30" t="s">
        <v>2</v>
      </c>
      <c r="B26" s="39">
        <f t="shared" ref="B26:R26" si="1">SUM(B12:B25)</f>
        <v>1485.62</v>
      </c>
      <c r="C26" s="39">
        <f t="shared" si="1"/>
        <v>1229.72</v>
      </c>
      <c r="D26" s="39">
        <f t="shared" si="1"/>
        <v>2239.65</v>
      </c>
      <c r="E26" s="39">
        <f t="shared" si="1"/>
        <v>400.54</v>
      </c>
      <c r="F26" s="39">
        <f t="shared" si="1"/>
        <v>0</v>
      </c>
      <c r="G26" s="39">
        <f t="shared" si="1"/>
        <v>123.5</v>
      </c>
      <c r="H26" s="39">
        <f t="shared" si="1"/>
        <v>0</v>
      </c>
      <c r="I26" s="39">
        <f t="shared" si="1"/>
        <v>4.55</v>
      </c>
      <c r="J26" s="39">
        <f t="shared" si="1"/>
        <v>11.779999999999998</v>
      </c>
      <c r="K26" s="39">
        <f t="shared" si="1"/>
        <v>53.5</v>
      </c>
      <c r="L26" s="39">
        <f t="shared" si="1"/>
        <v>20.75</v>
      </c>
      <c r="M26" s="39">
        <f t="shared" si="1"/>
        <v>221.5</v>
      </c>
      <c r="N26" s="39">
        <f t="shared" si="1"/>
        <v>0</v>
      </c>
      <c r="O26" s="45">
        <f t="shared" si="1"/>
        <v>0</v>
      </c>
      <c r="P26" s="45">
        <f t="shared" si="1"/>
        <v>0</v>
      </c>
      <c r="Q26" s="45">
        <f t="shared" si="1"/>
        <v>0</v>
      </c>
      <c r="R26" s="46">
        <f t="shared" si="1"/>
        <v>5791.11</v>
      </c>
      <c r="T26" s="29"/>
    </row>
    <row r="27" spans="1:20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59" t="s">
        <v>41</v>
      </c>
      <c r="O27" s="59"/>
      <c r="P27" s="59"/>
      <c r="Q27" s="59"/>
      <c r="R27" s="59"/>
    </row>
    <row r="28" spans="1:20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20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N27:R27"/>
    <mergeCell ref="K9:K11"/>
    <mergeCell ref="L9:L11"/>
    <mergeCell ref="N9:N11"/>
    <mergeCell ref="O9:O11"/>
    <mergeCell ref="P9:P11"/>
    <mergeCell ref="Q9:Q11"/>
    <mergeCell ref="R9:R11"/>
    <mergeCell ref="M9:M11"/>
    <mergeCell ref="J9:J11"/>
    <mergeCell ref="A9:A11"/>
    <mergeCell ref="B9:B11"/>
    <mergeCell ref="C9:C11"/>
    <mergeCell ref="D9:D11"/>
    <mergeCell ref="E9:E11"/>
    <mergeCell ref="A7:B7"/>
    <mergeCell ref="F9:F11"/>
    <mergeCell ref="G9:G11"/>
    <mergeCell ref="H9:H11"/>
    <mergeCell ref="I9:I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6"/>
  <sheetViews>
    <sheetView topLeftCell="A4" zoomScaleNormal="100" workbookViewId="0">
      <pane xSplit="1" ySplit="8" topLeftCell="B26" activePane="bottomRight" state="frozen"/>
      <selection activeCell="A4" sqref="A4"/>
      <selection pane="topRight" activeCell="B4" sqref="B4"/>
      <selection pane="bottomLeft" activeCell="A22" sqref="A22"/>
      <selection pane="bottomRight" activeCell="E41" sqref="E41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5" spans="1:15" ht="12.75" x14ac:dyDescent="0.2">
      <c r="A5" s="43" t="s">
        <v>37</v>
      </c>
    </row>
    <row r="7" spans="1:15" ht="12" x14ac:dyDescent="0.2">
      <c r="A7" s="53">
        <v>45139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45139</v>
      </c>
      <c r="B12" s="16">
        <f>38.01+51.03</f>
        <v>89.039999999999992</v>
      </c>
      <c r="C12" s="16">
        <f>18.93+28.9+13.95+10.97+18.06</f>
        <v>90.81</v>
      </c>
      <c r="D12" s="16">
        <v>469.26</v>
      </c>
      <c r="E12" s="16"/>
      <c r="F12" s="16"/>
      <c r="G12" s="16"/>
      <c r="H12" s="16"/>
      <c r="I12" s="16"/>
      <c r="J12" s="16">
        <f>0.62+0.62+0.62</f>
        <v>1.8599999999999999</v>
      </c>
      <c r="K12" s="16">
        <f>38+38</f>
        <v>76</v>
      </c>
      <c r="L12" s="17"/>
      <c r="M12" s="17"/>
      <c r="N12" s="17"/>
      <c r="O12" s="5">
        <f t="shared" ref="O12:O42" si="0">SUM(B12:K12)</f>
        <v>726.97</v>
      </c>
    </row>
    <row r="13" spans="1:15" ht="24" customHeight="1" x14ac:dyDescent="0.2">
      <c r="A13" s="15">
        <v>45140</v>
      </c>
      <c r="B13" s="16">
        <f>30.44</f>
        <v>30.44</v>
      </c>
      <c r="C13" s="16"/>
      <c r="D13" s="16">
        <f>42.3</f>
        <v>42.3</v>
      </c>
      <c r="E13" s="16"/>
      <c r="F13" s="16"/>
      <c r="G13" s="16"/>
      <c r="H13" s="16"/>
      <c r="I13" s="16"/>
      <c r="J13" s="16">
        <f>0.62+0.62</f>
        <v>1.24</v>
      </c>
      <c r="K13" s="16">
        <f>38</f>
        <v>38</v>
      </c>
      <c r="L13" s="17"/>
      <c r="M13" s="17"/>
      <c r="N13" s="17"/>
      <c r="O13" s="5">
        <f t="shared" si="0"/>
        <v>111.97999999999999</v>
      </c>
    </row>
    <row r="14" spans="1:15" ht="24" customHeight="1" x14ac:dyDescent="0.2">
      <c r="A14" s="15">
        <v>45141</v>
      </c>
      <c r="B14" s="18">
        <f>150.28</f>
        <v>150.28</v>
      </c>
      <c r="C14" s="16">
        <f>141.31</f>
        <v>141.31</v>
      </c>
      <c r="D14" s="16"/>
      <c r="E14" s="16"/>
      <c r="F14" s="16"/>
      <c r="G14" s="16"/>
      <c r="H14" s="16"/>
      <c r="I14" s="16">
        <f>6.93</f>
        <v>6.93</v>
      </c>
      <c r="J14" s="16">
        <f>0.62</f>
        <v>0.62</v>
      </c>
      <c r="K14" s="16">
        <f>38</f>
        <v>38</v>
      </c>
      <c r="L14" s="17"/>
      <c r="M14" s="17"/>
      <c r="N14" s="17"/>
      <c r="O14" s="5">
        <f t="shared" si="0"/>
        <v>337.14000000000004</v>
      </c>
    </row>
    <row r="15" spans="1:15" ht="24" customHeight="1" x14ac:dyDescent="0.2">
      <c r="A15" s="15">
        <v>45142</v>
      </c>
      <c r="B15" s="18">
        <f>16.8</f>
        <v>16.8</v>
      </c>
      <c r="C15" s="16">
        <f>5.58+15.6+13.9+11.56+16.44</f>
        <v>63.08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 t="shared" si="0"/>
        <v>80.5</v>
      </c>
    </row>
    <row r="16" spans="1:15" ht="24" customHeight="1" x14ac:dyDescent="0.2">
      <c r="A16" s="15">
        <v>45143</v>
      </c>
      <c r="B16" s="18"/>
      <c r="C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4" customHeight="1" x14ac:dyDescent="0.2">
      <c r="A17" s="15">
        <v>45144</v>
      </c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45145</v>
      </c>
      <c r="B18" s="18">
        <f>33.61+168.04+12.84</f>
        <v>214.48999999999998</v>
      </c>
      <c r="C18" s="16">
        <f>21.92+12.34</f>
        <v>34.260000000000005</v>
      </c>
      <c r="D18" s="16">
        <f>46.93</f>
        <v>46.93</v>
      </c>
      <c r="E18" s="16">
        <f>48.4</f>
        <v>48.4</v>
      </c>
      <c r="F18" s="16">
        <f>20.5</f>
        <v>20.5</v>
      </c>
      <c r="G18" s="16"/>
      <c r="H18" s="16"/>
      <c r="I18" s="16"/>
      <c r="J18" s="16">
        <f>0.62+0.62</f>
        <v>1.24</v>
      </c>
      <c r="K18" s="16"/>
      <c r="L18" s="17"/>
      <c r="M18" s="17"/>
      <c r="N18" s="17"/>
      <c r="O18" s="5">
        <f t="shared" si="0"/>
        <v>365.82</v>
      </c>
    </row>
    <row r="19" spans="1:15" ht="24" customHeight="1" x14ac:dyDescent="0.2">
      <c r="A19" s="15">
        <v>45146</v>
      </c>
      <c r="B19" s="18"/>
      <c r="C19" s="16"/>
      <c r="D19" s="16"/>
      <c r="E19" s="16"/>
      <c r="F19" s="16"/>
      <c r="G19" s="16"/>
      <c r="H19" s="16"/>
      <c r="I19" s="16"/>
      <c r="J19" s="16"/>
      <c r="K19" s="16">
        <f>38+38</f>
        <v>76</v>
      </c>
      <c r="L19" s="17"/>
      <c r="M19" s="17"/>
      <c r="N19" s="17"/>
      <c r="O19" s="5">
        <f t="shared" si="0"/>
        <v>76</v>
      </c>
    </row>
    <row r="20" spans="1:15" ht="24" customHeight="1" x14ac:dyDescent="0.2">
      <c r="A20" s="15">
        <v>45147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5">
        <f t="shared" si="0"/>
        <v>0</v>
      </c>
    </row>
    <row r="21" spans="1:15" ht="24" customHeight="1" x14ac:dyDescent="0.2">
      <c r="A21" s="15">
        <v>45148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45149</v>
      </c>
      <c r="B22" s="18">
        <f>30.62+168.04</f>
        <v>198.66</v>
      </c>
      <c r="C22" s="18"/>
      <c r="D22" s="18"/>
      <c r="E22" s="18"/>
      <c r="F22" s="18"/>
      <c r="G22" s="18"/>
      <c r="H22" s="18"/>
      <c r="I22" s="18"/>
      <c r="J22" s="18">
        <f>0.62</f>
        <v>0.62</v>
      </c>
      <c r="K22" s="18">
        <f>38</f>
        <v>38</v>
      </c>
      <c r="L22" s="17"/>
      <c r="M22" s="17"/>
      <c r="N22" s="17"/>
      <c r="O22" s="5">
        <f t="shared" si="0"/>
        <v>237.28</v>
      </c>
    </row>
    <row r="23" spans="1:15" ht="24" customHeight="1" x14ac:dyDescent="0.2">
      <c r="A23" s="15">
        <v>45150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45151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5">
        <f t="shared" si="0"/>
        <v>0</v>
      </c>
    </row>
    <row r="25" spans="1:15" ht="24" customHeight="1" x14ac:dyDescent="0.2">
      <c r="A25" s="15">
        <v>45152</v>
      </c>
      <c r="B25" s="18"/>
      <c r="C25" s="18">
        <f>46.8</f>
        <v>46.8</v>
      </c>
      <c r="D25" s="18"/>
      <c r="E25" s="18"/>
      <c r="F25" s="18"/>
      <c r="G25" s="18"/>
      <c r="H25" s="18"/>
      <c r="I25" s="18"/>
      <c r="J25" s="18">
        <f>0.62</f>
        <v>0.62</v>
      </c>
      <c r="K25" s="18">
        <f>38</f>
        <v>38</v>
      </c>
      <c r="L25" s="17"/>
      <c r="M25" s="17"/>
      <c r="N25" s="17"/>
      <c r="O25" s="5">
        <f t="shared" si="0"/>
        <v>85.419999999999987</v>
      </c>
    </row>
    <row r="26" spans="1:15" ht="24" customHeight="1" x14ac:dyDescent="0.2">
      <c r="A26" s="15">
        <v>45153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45154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45155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45156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5">
        <f t="shared" si="0"/>
        <v>0</v>
      </c>
    </row>
    <row r="30" spans="1:15" ht="24" customHeight="1" x14ac:dyDescent="0.2">
      <c r="A30" s="15">
        <v>45157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45158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45159</v>
      </c>
      <c r="B32" s="18">
        <f>12.92</f>
        <v>12.92</v>
      </c>
      <c r="C32" s="18">
        <f>12.36</f>
        <v>12.36</v>
      </c>
      <c r="D32" s="18"/>
      <c r="E32" s="18"/>
      <c r="F32" s="18"/>
      <c r="G32" s="18"/>
      <c r="H32" s="18"/>
      <c r="I32" s="18">
        <f>0.58</f>
        <v>0.57999999999999996</v>
      </c>
      <c r="J32" s="18">
        <f>0.62</f>
        <v>0.62</v>
      </c>
      <c r="K32" s="18"/>
      <c r="L32" s="17"/>
      <c r="M32" s="17"/>
      <c r="N32" s="17"/>
      <c r="O32" s="5">
        <f t="shared" si="0"/>
        <v>26.48</v>
      </c>
    </row>
    <row r="33" spans="1:15" ht="24" customHeight="1" x14ac:dyDescent="0.2">
      <c r="A33" s="15">
        <v>45160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45161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45162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45163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45164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45165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45166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45167</v>
      </c>
      <c r="B40" s="18"/>
      <c r="C40" s="18"/>
      <c r="D40" s="18">
        <f>18.49</f>
        <v>18.489999999999998</v>
      </c>
      <c r="E40" s="18">
        <f>21.02+18.08+13.14+25.6+23.98+23.1+21.02+18.08</f>
        <v>164.02000000000004</v>
      </c>
      <c r="F40" s="18"/>
      <c r="G40" s="18"/>
      <c r="H40" s="18"/>
      <c r="I40" s="18"/>
      <c r="J40" s="18">
        <f>0.62+0.62</f>
        <v>1.24</v>
      </c>
      <c r="K40" s="18">
        <f>38</f>
        <v>38</v>
      </c>
      <c r="L40" s="17"/>
      <c r="M40" s="17"/>
      <c r="N40" s="17"/>
      <c r="O40" s="5">
        <f t="shared" si="0"/>
        <v>221.75000000000006</v>
      </c>
    </row>
    <row r="41" spans="1:15" ht="24" customHeight="1" x14ac:dyDescent="0.2">
      <c r="A41" s="15">
        <v>45168</v>
      </c>
      <c r="B41" s="18"/>
      <c r="C41" s="18"/>
      <c r="D41" s="18"/>
      <c r="E41" s="18"/>
      <c r="F41" s="18"/>
      <c r="G41" s="18"/>
      <c r="H41" s="18"/>
      <c r="I41" s="18"/>
      <c r="J41" s="18"/>
      <c r="K41" s="18">
        <f>38</f>
        <v>38</v>
      </c>
      <c r="L41" s="17"/>
      <c r="M41" s="17"/>
      <c r="N41" s="17"/>
      <c r="O41" s="5">
        <f t="shared" si="0"/>
        <v>38</v>
      </c>
    </row>
    <row r="42" spans="1:15" ht="24" customHeight="1" x14ac:dyDescent="0.2">
      <c r="A42" s="15">
        <v>45169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7"/>
      <c r="M42" s="17"/>
      <c r="N42" s="17"/>
      <c r="O42" s="5">
        <f t="shared" si="0"/>
        <v>0</v>
      </c>
    </row>
    <row r="43" spans="1:15" ht="24" customHeight="1" x14ac:dyDescent="0.2">
      <c r="A43" s="30" t="s">
        <v>2</v>
      </c>
      <c r="B43" s="47">
        <f>SUM(B12:B42)</f>
        <v>712.62999999999988</v>
      </c>
      <c r="C43" s="47">
        <f t="shared" ref="C43:N43" si="1">SUM(C12:C42)</f>
        <v>388.62</v>
      </c>
      <c r="D43" s="47">
        <f t="shared" si="1"/>
        <v>576.98</v>
      </c>
      <c r="E43" s="47">
        <f t="shared" si="1"/>
        <v>212.42000000000004</v>
      </c>
      <c r="F43" s="47">
        <f t="shared" si="1"/>
        <v>20.5</v>
      </c>
      <c r="G43" s="47">
        <f t="shared" si="1"/>
        <v>0</v>
      </c>
      <c r="H43" s="47">
        <f t="shared" si="1"/>
        <v>0</v>
      </c>
      <c r="I43" s="47">
        <f t="shared" si="1"/>
        <v>7.51</v>
      </c>
      <c r="J43" s="47">
        <f t="shared" si="1"/>
        <v>8.68</v>
      </c>
      <c r="K43" s="47">
        <f t="shared" si="1"/>
        <v>380</v>
      </c>
      <c r="L43" s="47">
        <f t="shared" si="1"/>
        <v>0</v>
      </c>
      <c r="M43" s="47">
        <f t="shared" si="1"/>
        <v>0</v>
      </c>
      <c r="N43" s="47">
        <f t="shared" si="1"/>
        <v>0</v>
      </c>
      <c r="O43" s="48">
        <f>SUM(O12:O42)</f>
        <v>2307.34</v>
      </c>
    </row>
    <row r="44" spans="1:15" ht="12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58"/>
      <c r="M44" s="58"/>
      <c r="N44" s="58"/>
      <c r="O44" s="58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7">
    <mergeCell ref="N9:N11"/>
    <mergeCell ref="O9:O11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3" t="s">
        <v>37</v>
      </c>
    </row>
    <row r="7" spans="1:16" ht="12" x14ac:dyDescent="0.2">
      <c r="A7" s="53">
        <v>45200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4" t="s">
        <v>43</v>
      </c>
      <c r="L9" s="55" t="s">
        <v>25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61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62"/>
      <c r="L11" s="55"/>
      <c r="M11" s="56"/>
      <c r="N11" s="56"/>
      <c r="O11" s="56"/>
      <c r="P11" s="57"/>
    </row>
    <row r="12" spans="1:16" ht="23.25" customHeight="1" x14ac:dyDescent="0.2">
      <c r="A12" s="15">
        <v>44470</v>
      </c>
      <c r="B12" s="16">
        <f>38.28+6.62</f>
        <v>44.9</v>
      </c>
      <c r="C12" s="16">
        <f>6.51+6.64</f>
        <v>13.149999999999999</v>
      </c>
      <c r="D12" s="16">
        <f>16.41</f>
        <v>16.41</v>
      </c>
      <c r="E12" s="16">
        <f>20.94+18.69+16.96</f>
        <v>56.59</v>
      </c>
      <c r="F12" s="16">
        <f>20.5</f>
        <v>20.5</v>
      </c>
      <c r="G12" s="16"/>
      <c r="H12" s="16"/>
      <c r="I12" s="16"/>
      <c r="J12" s="16">
        <f>0.62+0.62+0.62</f>
        <v>1.8599999999999999</v>
      </c>
      <c r="K12" s="16"/>
      <c r="L12" s="16">
        <f>38</f>
        <v>38</v>
      </c>
      <c r="M12" s="17"/>
      <c r="N12" s="17"/>
      <c r="O12" s="17"/>
      <c r="P12" s="5">
        <f>SUM(B12:L12)</f>
        <v>191.41000000000003</v>
      </c>
    </row>
    <row r="13" spans="1:16" ht="24" customHeight="1" x14ac:dyDescent="0.2">
      <c r="A13" s="15">
        <v>44471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>SUM(B13:L13)</f>
        <v>0</v>
      </c>
    </row>
    <row r="14" spans="1:16" ht="24" customHeight="1" x14ac:dyDescent="0.2">
      <c r="A14" s="15">
        <v>44472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ref="P14:P29" si="0">SUM(B14:L14)</f>
        <v>0</v>
      </c>
    </row>
    <row r="15" spans="1:16" ht="24" customHeight="1" x14ac:dyDescent="0.2">
      <c r="A15" s="15">
        <v>44473</v>
      </c>
      <c r="B15" s="16">
        <f>33.97+33.97</f>
        <v>67.94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5">
        <f t="shared" si="0"/>
        <v>67.94</v>
      </c>
    </row>
    <row r="16" spans="1:16" ht="24" customHeight="1" x14ac:dyDescent="0.2">
      <c r="A16" s="15">
        <v>44474</v>
      </c>
      <c r="B16" s="16">
        <f>50.9+73.5</f>
        <v>124.4</v>
      </c>
      <c r="C16" s="16"/>
      <c r="D16" s="16"/>
      <c r="E16" s="16"/>
      <c r="F16" s="16">
        <f>20.5</f>
        <v>20.5</v>
      </c>
      <c r="G16" s="16"/>
      <c r="H16" s="16">
        <f>20.5</f>
        <v>20.5</v>
      </c>
      <c r="I16" s="16"/>
      <c r="J16" s="16">
        <f>0.62</f>
        <v>0.62</v>
      </c>
      <c r="K16" s="16"/>
      <c r="L16" s="16">
        <f>38</f>
        <v>38</v>
      </c>
      <c r="M16" s="17"/>
      <c r="N16" s="17"/>
      <c r="O16" s="17"/>
      <c r="P16" s="5">
        <f t="shared" si="0"/>
        <v>204.02</v>
      </c>
    </row>
    <row r="17" spans="1:16" ht="24" customHeight="1" x14ac:dyDescent="0.2">
      <c r="A17" s="15">
        <v>44475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44476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44477</v>
      </c>
      <c r="B19" s="16">
        <f>30.83</f>
        <v>30.83</v>
      </c>
      <c r="C19" s="16"/>
      <c r="D19" s="16">
        <f>614.88</f>
        <v>614.88</v>
      </c>
      <c r="E19" s="16"/>
      <c r="F19" s="16"/>
      <c r="G19" s="16">
        <f>61.75</f>
        <v>61.75</v>
      </c>
      <c r="H19" s="16"/>
      <c r="I19" s="16"/>
      <c r="J19" s="16">
        <f>0.62</f>
        <v>0.62</v>
      </c>
      <c r="K19" s="16"/>
      <c r="L19" s="16"/>
      <c r="M19" s="17"/>
      <c r="N19" s="17"/>
      <c r="O19" s="17"/>
      <c r="P19" s="5">
        <f t="shared" si="0"/>
        <v>708.08</v>
      </c>
    </row>
    <row r="20" spans="1:16" ht="24" customHeight="1" x14ac:dyDescent="0.2">
      <c r="A20" s="15">
        <v>44478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44479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44480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44481</v>
      </c>
      <c r="B23" s="18">
        <f>13.02</f>
        <v>13.02</v>
      </c>
      <c r="C23" s="18">
        <f>12.46</f>
        <v>12.46</v>
      </c>
      <c r="D23" s="18"/>
      <c r="E23" s="18"/>
      <c r="F23" s="18"/>
      <c r="G23" s="18"/>
      <c r="H23" s="18"/>
      <c r="I23" s="18">
        <f>0.59</f>
        <v>0.59</v>
      </c>
      <c r="J23" s="18">
        <f>0.62</f>
        <v>0.62</v>
      </c>
      <c r="K23" s="18"/>
      <c r="L23" s="18">
        <f>38</f>
        <v>38</v>
      </c>
      <c r="M23" s="17"/>
      <c r="N23" s="17"/>
      <c r="O23" s="17"/>
      <c r="P23" s="5">
        <f t="shared" si="0"/>
        <v>64.69</v>
      </c>
    </row>
    <row r="24" spans="1:16" ht="24" customHeight="1" x14ac:dyDescent="0.2">
      <c r="A24" s="15">
        <v>44482</v>
      </c>
      <c r="B24" s="18"/>
      <c r="C24" s="18"/>
      <c r="D24" s="18">
        <f>47.43</f>
        <v>47.43</v>
      </c>
      <c r="E24" s="18">
        <f>48.86</f>
        <v>48.86</v>
      </c>
      <c r="F24" s="18"/>
      <c r="G24" s="18"/>
      <c r="H24" s="18"/>
      <c r="I24" s="18"/>
      <c r="J24" s="18">
        <f>0.62</f>
        <v>0.62</v>
      </c>
      <c r="K24" s="18"/>
      <c r="L24" s="18">
        <f>38</f>
        <v>38</v>
      </c>
      <c r="M24" s="17"/>
      <c r="N24" s="17"/>
      <c r="O24" s="17"/>
      <c r="P24" s="5">
        <f t="shared" si="0"/>
        <v>134.91</v>
      </c>
    </row>
    <row r="25" spans="1:16" ht="24" customHeight="1" x14ac:dyDescent="0.2">
      <c r="A25" s="15">
        <v>44483</v>
      </c>
      <c r="B25" s="18"/>
      <c r="C25" s="18"/>
      <c r="D25" s="18"/>
      <c r="E25" s="18"/>
      <c r="F25" s="18"/>
      <c r="G25" s="18"/>
      <c r="H25" s="18"/>
      <c r="I25" s="18"/>
      <c r="J25" s="18"/>
      <c r="K25" s="18">
        <f>20.75</f>
        <v>20.75</v>
      </c>
      <c r="L25" s="18"/>
      <c r="M25" s="17"/>
      <c r="N25" s="17"/>
      <c r="O25" s="17"/>
      <c r="P25" s="5">
        <f t="shared" si="0"/>
        <v>20.75</v>
      </c>
    </row>
    <row r="26" spans="1:16" ht="24" customHeight="1" x14ac:dyDescent="0.2">
      <c r="A26" s="15">
        <v>44484</v>
      </c>
      <c r="B26" s="18">
        <f>42.35</f>
        <v>42.35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42.35</v>
      </c>
    </row>
    <row r="27" spans="1:16" ht="24" customHeight="1" x14ac:dyDescent="0.2">
      <c r="A27" s="15">
        <v>44485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0</v>
      </c>
    </row>
    <row r="28" spans="1:16" ht="24" customHeight="1" x14ac:dyDescent="0.2">
      <c r="A28" s="15">
        <v>44486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16" ht="24" customHeight="1" x14ac:dyDescent="0.2">
      <c r="A29" s="15">
        <v>44487</v>
      </c>
      <c r="B29" s="18">
        <f>16.94</f>
        <v>16.940000000000001</v>
      </c>
      <c r="C29" s="18">
        <f>11.64+13.98+15.68+5.6+16.51</f>
        <v>63.41</v>
      </c>
      <c r="D29" s="18"/>
      <c r="E29" s="18"/>
      <c r="F29" s="18"/>
      <c r="G29" s="18"/>
      <c r="H29" s="18"/>
      <c r="I29" s="18"/>
      <c r="J29" s="18">
        <f>0.62</f>
        <v>0.62</v>
      </c>
      <c r="K29" s="18"/>
      <c r="L29" s="18"/>
      <c r="M29" s="17"/>
      <c r="N29" s="17"/>
      <c r="O29" s="17"/>
      <c r="P29" s="5">
        <f t="shared" si="0"/>
        <v>80.97</v>
      </c>
    </row>
    <row r="30" spans="1:16" ht="24" customHeight="1" x14ac:dyDescent="0.2">
      <c r="A30" s="15">
        <v>44488</v>
      </c>
      <c r="B30" s="18">
        <f>14.12</f>
        <v>14.12</v>
      </c>
      <c r="C30" s="18">
        <f>14.55</f>
        <v>14.55</v>
      </c>
      <c r="D30" s="18"/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ref="P30:P42" si="1">SUM(B30:L30)</f>
        <v>29.290000000000003</v>
      </c>
    </row>
    <row r="31" spans="1:16" ht="24" customHeight="1" x14ac:dyDescent="0.2">
      <c r="A31" s="15">
        <v>44489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>
        <f>38</f>
        <v>38</v>
      </c>
      <c r="M31" s="17"/>
      <c r="N31" s="17"/>
      <c r="O31" s="17"/>
      <c r="P31" s="5">
        <f t="shared" si="1"/>
        <v>38</v>
      </c>
    </row>
    <row r="32" spans="1:16" ht="24" customHeight="1" x14ac:dyDescent="0.2">
      <c r="A32" s="15">
        <v>44490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1"/>
        <v>0</v>
      </c>
    </row>
    <row r="33" spans="1:16" ht="24" customHeight="1" x14ac:dyDescent="0.2">
      <c r="A33" s="15">
        <v>44491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>
        <f>38</f>
        <v>38</v>
      </c>
      <c r="M33" s="17"/>
      <c r="N33" s="17"/>
      <c r="O33" s="17"/>
      <c r="P33" s="5">
        <f t="shared" si="1"/>
        <v>38</v>
      </c>
    </row>
    <row r="34" spans="1:16" ht="24" customHeight="1" x14ac:dyDescent="0.2">
      <c r="A34" s="15">
        <v>44492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/>
      <c r="N34" s="17"/>
      <c r="O34" s="17"/>
      <c r="P34" s="5">
        <f t="shared" si="1"/>
        <v>0</v>
      </c>
    </row>
    <row r="35" spans="1:16" ht="24" customHeight="1" x14ac:dyDescent="0.2">
      <c r="A35" s="15">
        <v>44493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5">
        <f t="shared" si="1"/>
        <v>0</v>
      </c>
    </row>
    <row r="36" spans="1:16" ht="24" customHeight="1" x14ac:dyDescent="0.2">
      <c r="A36" s="15">
        <v>44494</v>
      </c>
      <c r="B36" s="18">
        <f>169.42</f>
        <v>169.42</v>
      </c>
      <c r="C36" s="18">
        <f>1.22+8.81+9.61+7.55+7.87+6.76+2.47</f>
        <v>44.29</v>
      </c>
      <c r="D36" s="18"/>
      <c r="E36" s="18"/>
      <c r="F36" s="18"/>
      <c r="G36" s="18"/>
      <c r="H36" s="18"/>
      <c r="I36" s="18">
        <f>2.77+1.88</f>
        <v>4.6500000000000004</v>
      </c>
      <c r="J36" s="18">
        <f>0.62</f>
        <v>0.62</v>
      </c>
      <c r="K36" s="18"/>
      <c r="L36" s="18"/>
      <c r="M36" s="17"/>
      <c r="N36" s="17"/>
      <c r="O36" s="17"/>
      <c r="P36" s="5">
        <f t="shared" si="1"/>
        <v>218.98</v>
      </c>
    </row>
    <row r="37" spans="1:16" ht="24" customHeight="1" x14ac:dyDescent="0.2">
      <c r="A37" s="15">
        <v>44495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>
        <f>38</f>
        <v>38</v>
      </c>
      <c r="M37" s="17"/>
      <c r="N37" s="17"/>
      <c r="O37" s="17"/>
      <c r="P37" s="5">
        <f t="shared" si="1"/>
        <v>38</v>
      </c>
    </row>
    <row r="38" spans="1:16" ht="24" customHeight="1" x14ac:dyDescent="0.2">
      <c r="A38" s="15">
        <v>44496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>
        <f>38</f>
        <v>38</v>
      </c>
      <c r="M38" s="17"/>
      <c r="N38" s="17"/>
      <c r="O38" s="17"/>
      <c r="P38" s="5">
        <f t="shared" si="1"/>
        <v>38</v>
      </c>
    </row>
    <row r="39" spans="1:16" ht="24" customHeight="1" x14ac:dyDescent="0.2">
      <c r="A39" s="15">
        <v>44497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1"/>
        <v>0</v>
      </c>
    </row>
    <row r="40" spans="1:16" ht="24" customHeight="1" x14ac:dyDescent="0.2">
      <c r="A40" s="15">
        <v>44498</v>
      </c>
      <c r="B40" s="18"/>
      <c r="C40" s="18"/>
      <c r="D40" s="18">
        <f>95.56+18.68</f>
        <v>114.24000000000001</v>
      </c>
      <c r="E40" s="18">
        <f>18.24+21.2+98.46+59.2+66.28+71.02+21.2+18.24+23.28+24.16+25.78+13.22</f>
        <v>460.28000000000009</v>
      </c>
      <c r="F40" s="18"/>
      <c r="G40" s="18"/>
      <c r="H40" s="18"/>
      <c r="I40" s="18"/>
      <c r="J40" s="18">
        <f>0.62+0.62+0.62</f>
        <v>1.8599999999999999</v>
      </c>
      <c r="K40" s="18"/>
      <c r="L40" s="18"/>
      <c r="M40" s="17"/>
      <c r="N40" s="17"/>
      <c r="O40" s="17"/>
      <c r="P40" s="5">
        <f t="shared" si="1"/>
        <v>576.38000000000011</v>
      </c>
    </row>
    <row r="41" spans="1:16" ht="24" customHeight="1" x14ac:dyDescent="0.2">
      <c r="A41" s="15">
        <v>44499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/>
      <c r="N41" s="17"/>
      <c r="O41" s="17"/>
      <c r="P41" s="5"/>
    </row>
    <row r="42" spans="1:16" ht="24" customHeight="1" x14ac:dyDescent="0.2">
      <c r="A42" s="15">
        <v>44500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1"/>
        <v>0</v>
      </c>
    </row>
    <row r="43" spans="1:16" ht="24" customHeight="1" x14ac:dyDescent="0.2">
      <c r="A43" s="30" t="s">
        <v>2</v>
      </c>
      <c r="B43" s="39">
        <f t="shared" ref="B43:P43" si="2">SUM(B12:B42)</f>
        <v>523.91999999999996</v>
      </c>
      <c r="C43" s="42">
        <f t="shared" si="2"/>
        <v>147.85999999999999</v>
      </c>
      <c r="D43" s="42">
        <f t="shared" si="2"/>
        <v>792.95999999999992</v>
      </c>
      <c r="E43" s="42">
        <f t="shared" si="2"/>
        <v>565.73000000000013</v>
      </c>
      <c r="F43" s="42">
        <f t="shared" si="2"/>
        <v>41</v>
      </c>
      <c r="G43" s="42">
        <f t="shared" si="2"/>
        <v>61.75</v>
      </c>
      <c r="H43" s="42">
        <f t="shared" si="2"/>
        <v>20.5</v>
      </c>
      <c r="I43" s="42">
        <f t="shared" si="2"/>
        <v>5.24</v>
      </c>
      <c r="J43" s="42">
        <f t="shared" si="2"/>
        <v>8.06</v>
      </c>
      <c r="K43" s="42"/>
      <c r="L43" s="42">
        <f t="shared" si="2"/>
        <v>304</v>
      </c>
      <c r="M43" s="22">
        <f t="shared" si="2"/>
        <v>0</v>
      </c>
      <c r="N43" s="22">
        <f t="shared" si="2"/>
        <v>0</v>
      </c>
      <c r="O43" s="23">
        <f t="shared" si="2"/>
        <v>0</v>
      </c>
      <c r="P43" s="36">
        <f t="shared" si="2"/>
        <v>2491.7700000000004</v>
      </c>
    </row>
    <row r="44" spans="1:16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58"/>
      <c r="N44" s="58"/>
      <c r="O44" s="58"/>
      <c r="P44" s="58"/>
    </row>
    <row r="45" spans="1:16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spans="1:16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</sheetData>
  <mergeCells count="19">
    <mergeCell ref="O9:O11"/>
    <mergeCell ref="P9:P11"/>
    <mergeCell ref="A44:L44"/>
    <mergeCell ref="M44:P44"/>
    <mergeCell ref="J9:J11"/>
    <mergeCell ref="L9:L11"/>
    <mergeCell ref="M9:M11"/>
    <mergeCell ref="N9:N11"/>
    <mergeCell ref="E9:E11"/>
    <mergeCell ref="F9:F11"/>
    <mergeCell ref="G9:G11"/>
    <mergeCell ref="H9:H11"/>
    <mergeCell ref="I9:I11"/>
    <mergeCell ref="K9:K11"/>
    <mergeCell ref="A7:B7"/>
    <mergeCell ref="A9:A11"/>
    <mergeCell ref="B9:B11"/>
    <mergeCell ref="C9:C11"/>
    <mergeCell ref="D9:D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2023-12-05T14:59:38Z</cp:lastPrinted>
  <dcterms:created xsi:type="dcterms:W3CDTF">2012-12-12T12:29:50Z</dcterms:created>
  <dcterms:modified xsi:type="dcterms:W3CDTF">2023-12-05T14:59:44Z</dcterms:modified>
  <dc:language>pt-BR</dc:language>
</cp:coreProperties>
</file>