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GESTÃO dayse-070622\2023\FINANCEIRO2023\072023\Financeiro\Planilhas %\"/>
    </mc:Choice>
  </mc:AlternateContent>
  <bookViews>
    <workbookView xWindow="0" yWindow="0" windowWidth="16380" windowHeight="8190" tabRatio="500" firstSheet="4" activeTab="7"/>
  </bookViews>
  <sheets>
    <sheet name="RECEITA TOTAL" sheetId="1" r:id="rId1"/>
    <sheet name="JAN 25%" sheetId="2" r:id="rId2"/>
    <sheet name="FEV 25% " sheetId="3" r:id="rId3"/>
    <sheet name="MAR 25% " sheetId="4" r:id="rId4"/>
    <sheet name="ABR 25% " sheetId="5" r:id="rId5"/>
    <sheet name="MAI 25%" sheetId="6" r:id="rId6"/>
    <sheet name="JUN 25%" sheetId="7" r:id="rId7"/>
    <sheet name="JUL 25%" sheetId="8" r:id="rId8"/>
    <sheet name="AGO 25% " sheetId="9" r:id="rId9"/>
    <sheet name="SET 25%" sheetId="10" r:id="rId10"/>
    <sheet name="OUT 25%" sheetId="11" r:id="rId11"/>
    <sheet name="NOV 25%" sheetId="12" r:id="rId12"/>
    <sheet name="DEZ 25%" sheetId="13" r:id="rId13"/>
  </sheets>
  <externalReferences>
    <externalReference r:id="rId14"/>
  </externalReference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P13" i="8" l="1"/>
  <c r="P14" i="8"/>
  <c r="P15" i="8"/>
  <c r="P16" i="8"/>
  <c r="P17" i="8"/>
  <c r="P18" i="8"/>
  <c r="P19" i="8"/>
  <c r="P20" i="8"/>
  <c r="P21" i="8"/>
  <c r="P22" i="8"/>
  <c r="P23" i="8"/>
  <c r="P24" i="8"/>
  <c r="P25" i="8"/>
  <c r="P12" i="8"/>
  <c r="D25" i="8"/>
  <c r="E25" i="8"/>
  <c r="J25" i="8"/>
  <c r="B24" i="8"/>
  <c r="H24" i="8"/>
  <c r="F24" i="8"/>
  <c r="J24" i="8"/>
  <c r="C24" i="8"/>
  <c r="F23" i="8"/>
  <c r="C22" i="8"/>
  <c r="I22" i="8"/>
  <c r="I26" i="8" s="1"/>
  <c r="J22" i="8"/>
  <c r="E22" i="8"/>
  <c r="B20" i="8"/>
  <c r="C19" i="8"/>
  <c r="J19" i="8"/>
  <c r="G19" i="8"/>
  <c r="D19" i="8"/>
  <c r="B17" i="8"/>
  <c r="F15" i="8"/>
  <c r="D15" i="8"/>
  <c r="E15" i="8"/>
  <c r="J15" i="8"/>
  <c r="F14" i="8"/>
  <c r="B14" i="8"/>
  <c r="C14" i="8"/>
  <c r="J14" i="8"/>
  <c r="E14" i="8"/>
  <c r="D14" i="8"/>
  <c r="D26" i="8" s="1"/>
  <c r="F13" i="8"/>
  <c r="B13" i="8"/>
  <c r="I12" i="8"/>
  <c r="B12" i="8"/>
  <c r="J12" i="8"/>
  <c r="C12" i="8"/>
  <c r="E12" i="8"/>
  <c r="D12" i="8"/>
  <c r="O26" i="8"/>
  <c r="N26" i="8"/>
  <c r="M26" i="8"/>
  <c r="L26" i="8"/>
  <c r="K26" i="8"/>
  <c r="H26" i="8"/>
  <c r="G26" i="8"/>
  <c r="F26" i="8" l="1"/>
  <c r="C26" i="8"/>
  <c r="J26" i="8"/>
  <c r="E26" i="8"/>
  <c r="B26" i="8"/>
  <c r="P26" i="8" l="1"/>
  <c r="M25" i="7" l="1"/>
  <c r="E25" i="7"/>
  <c r="J25" i="7"/>
  <c r="M24" i="7"/>
  <c r="J23" i="7"/>
  <c r="B23" i="7"/>
  <c r="D23" i="7"/>
  <c r="G23" i="7"/>
  <c r="J22" i="7"/>
  <c r="C22" i="7"/>
  <c r="B22" i="7"/>
  <c r="M22" i="7"/>
  <c r="B21" i="7"/>
  <c r="M21" i="7"/>
  <c r="B20" i="7"/>
  <c r="B19" i="7"/>
  <c r="C19" i="7"/>
  <c r="J19" i="7"/>
  <c r="J18" i="7"/>
  <c r="C18" i="7"/>
  <c r="B18" i="7"/>
  <c r="D18" i="7"/>
  <c r="G18" i="7"/>
  <c r="L18" i="7"/>
  <c r="K18" i="7"/>
  <c r="K26" i="7" s="1"/>
  <c r="L26" i="7"/>
  <c r="M18" i="7"/>
  <c r="J17" i="7" l="1"/>
  <c r="B17" i="7"/>
  <c r="B16" i="7"/>
  <c r="M16" i="7"/>
  <c r="M26" i="7" s="1"/>
  <c r="B15" i="7"/>
  <c r="R15" i="7" s="1"/>
  <c r="B14" i="7"/>
  <c r="J14" i="7"/>
  <c r="C14" i="7"/>
  <c r="D13" i="7"/>
  <c r="E13" i="7"/>
  <c r="J13" i="7"/>
  <c r="J12" i="7"/>
  <c r="C12" i="7"/>
  <c r="B12" i="7"/>
  <c r="I12" i="7"/>
  <c r="I26" i="7"/>
  <c r="D12" i="7"/>
  <c r="E12" i="7"/>
  <c r="Q26" i="7"/>
  <c r="P26" i="7"/>
  <c r="O26" i="7"/>
  <c r="N26" i="7"/>
  <c r="H26" i="7"/>
  <c r="G26" i="7"/>
  <c r="F26" i="7"/>
  <c r="R25" i="7"/>
  <c r="R24" i="7"/>
  <c r="R23" i="7"/>
  <c r="R22" i="7"/>
  <c r="R21" i="7"/>
  <c r="R20" i="7"/>
  <c r="R19" i="7"/>
  <c r="R18" i="7"/>
  <c r="E26" i="7" l="1"/>
  <c r="R17" i="7"/>
  <c r="B26" i="7"/>
  <c r="R16" i="7"/>
  <c r="J26" i="7"/>
  <c r="R14" i="7"/>
  <c r="C26" i="7"/>
  <c r="R13" i="7"/>
  <c r="R12" i="7"/>
  <c r="D26" i="7"/>
  <c r="B30" i="6"/>
  <c r="J30" i="6"/>
  <c r="D30" i="6"/>
  <c r="J29" i="6"/>
  <c r="B29" i="6"/>
  <c r="C29" i="6"/>
  <c r="K29" i="6"/>
  <c r="G29" i="6"/>
  <c r="D29" i="6"/>
  <c r="E29" i="6"/>
  <c r="B28" i="6"/>
  <c r="P28" i="6"/>
  <c r="D28" i="6"/>
  <c r="C27" i="6"/>
  <c r="J27" i="6"/>
  <c r="D27" i="6"/>
  <c r="G27" i="6"/>
  <c r="K26" i="6"/>
  <c r="P24" i="6"/>
  <c r="P25" i="6"/>
  <c r="P26" i="6"/>
  <c r="H25" i="6"/>
  <c r="F25" i="6"/>
  <c r="B25" i="6"/>
  <c r="G24" i="6"/>
  <c r="D24" i="6"/>
  <c r="B12" i="6"/>
  <c r="C12" i="6"/>
  <c r="J12" i="6"/>
  <c r="D12" i="6"/>
  <c r="G12" i="6"/>
  <c r="E12" i="6"/>
  <c r="R26" i="7" l="1"/>
  <c r="P30" i="6"/>
  <c r="P29" i="6"/>
  <c r="P27" i="6"/>
  <c r="B23" i="6" l="1"/>
  <c r="J23" i="6"/>
  <c r="D23" i="6"/>
  <c r="G23" i="6"/>
  <c r="B22" i="6"/>
  <c r="I22" i="6"/>
  <c r="J22" i="6"/>
  <c r="K22" i="6"/>
  <c r="P22" i="6" s="1"/>
  <c r="K21" i="6"/>
  <c r="B20" i="6"/>
  <c r="P20" i="6" s="1"/>
  <c r="C19" i="6"/>
  <c r="J19" i="6"/>
  <c r="B19" i="6"/>
  <c r="D19" i="6"/>
  <c r="I18" i="6"/>
  <c r="C18" i="6"/>
  <c r="J18" i="6"/>
  <c r="F17" i="6"/>
  <c r="B17" i="6"/>
  <c r="B16" i="6"/>
  <c r="D16" i="6"/>
  <c r="B15" i="6"/>
  <c r="P15" i="6" s="1"/>
  <c r="K15" i="6"/>
  <c r="J14" i="6"/>
  <c r="B14" i="6"/>
  <c r="B13" i="6"/>
  <c r="J13" i="6"/>
  <c r="E13" i="6"/>
  <c r="D13" i="6"/>
  <c r="G31" i="6"/>
  <c r="O31" i="6"/>
  <c r="N31" i="6"/>
  <c r="M31" i="6"/>
  <c r="L31" i="6"/>
  <c r="H31" i="6"/>
  <c r="F31" i="6"/>
  <c r="P21" i="6"/>
  <c r="I31" i="6" l="1"/>
  <c r="P23" i="6"/>
  <c r="K31" i="6"/>
  <c r="P19" i="6"/>
  <c r="P18" i="6"/>
  <c r="C31" i="6"/>
  <c r="P17" i="6"/>
  <c r="P16" i="6"/>
  <c r="J31" i="6"/>
  <c r="P14" i="6"/>
  <c r="B31" i="6"/>
  <c r="P13" i="6"/>
  <c r="E31" i="6"/>
  <c r="D31" i="6"/>
  <c r="P12" i="6"/>
  <c r="E12" i="5"/>
  <c r="P31" i="6" l="1"/>
  <c r="P17" i="5"/>
  <c r="P13" i="5" l="1"/>
  <c r="P14" i="5"/>
  <c r="P15" i="5"/>
  <c r="P16" i="5"/>
  <c r="P18" i="5"/>
  <c r="P19" i="5"/>
  <c r="P20" i="5"/>
  <c r="P21" i="5"/>
  <c r="P22" i="5"/>
  <c r="P23" i="5"/>
  <c r="P24" i="5"/>
  <c r="P25" i="5"/>
  <c r="P26" i="5"/>
  <c r="B26" i="5"/>
  <c r="K26" i="5"/>
  <c r="B25" i="5"/>
  <c r="E25" i="5"/>
  <c r="D25" i="5"/>
  <c r="K25" i="5"/>
  <c r="F24" i="5"/>
  <c r="H24" i="5"/>
  <c r="B24" i="5"/>
  <c r="B23" i="5"/>
  <c r="C23" i="5"/>
  <c r="I23" i="5"/>
  <c r="J23" i="5"/>
  <c r="D22" i="5"/>
  <c r="B21" i="5"/>
  <c r="F21" i="5"/>
  <c r="K21" i="5"/>
  <c r="K20" i="5"/>
  <c r="F19" i="5"/>
  <c r="B19" i="5"/>
  <c r="B18" i="5"/>
  <c r="J18" i="5"/>
  <c r="C18" i="5"/>
  <c r="H17" i="5"/>
  <c r="F17" i="5"/>
  <c r="B17" i="5"/>
  <c r="J17" i="5"/>
  <c r="C17" i="5"/>
  <c r="K17" i="5"/>
  <c r="K16" i="5"/>
  <c r="B15" i="5"/>
  <c r="J15" i="5"/>
  <c r="B14" i="5"/>
  <c r="B13" i="5"/>
  <c r="K14" i="5"/>
  <c r="K13" i="5"/>
  <c r="B12" i="5"/>
  <c r="H12" i="5"/>
  <c r="C12" i="5"/>
  <c r="C27" i="5" s="1"/>
  <c r="J12" i="5"/>
  <c r="K12" i="5"/>
  <c r="D12" i="5"/>
  <c r="D27" i="5" s="1"/>
  <c r="E27" i="5"/>
  <c r="O27" i="5"/>
  <c r="N27" i="5"/>
  <c r="M27" i="5"/>
  <c r="L27" i="5"/>
  <c r="I27" i="5"/>
  <c r="H27" i="5"/>
  <c r="G27" i="5"/>
  <c r="F27" i="5" l="1"/>
  <c r="J27" i="5"/>
  <c r="B27" i="5"/>
  <c r="K27" i="5"/>
  <c r="P12" i="5"/>
  <c r="P27" i="5" l="1"/>
  <c r="P32" i="4" l="1"/>
  <c r="F32" i="4"/>
  <c r="G32" i="4"/>
  <c r="H32" i="4"/>
  <c r="I32" i="4"/>
  <c r="J32" i="4"/>
  <c r="K32" i="4"/>
  <c r="C32" i="4"/>
  <c r="D32" i="4"/>
  <c r="E32" i="4"/>
  <c r="B32" i="4"/>
  <c r="E29" i="4"/>
  <c r="D29" i="4"/>
  <c r="C29" i="4"/>
  <c r="B29" i="4"/>
  <c r="J29" i="4"/>
  <c r="P29" i="4" s="1"/>
  <c r="P25" i="4"/>
  <c r="P26" i="4"/>
  <c r="P27" i="4"/>
  <c r="P28" i="4"/>
  <c r="P30" i="4"/>
  <c r="P31" i="4"/>
  <c r="B31" i="4" l="1"/>
  <c r="K31" i="4"/>
  <c r="D31" i="4"/>
  <c r="B30" i="4"/>
  <c r="B28" i="4"/>
  <c r="C28" i="4"/>
  <c r="J28" i="4"/>
  <c r="K28" i="4"/>
  <c r="B27" i="4"/>
  <c r="B25" i="4"/>
  <c r="B24" i="4"/>
  <c r="I24" i="4"/>
  <c r="C24" i="4"/>
  <c r="J24" i="4"/>
  <c r="B23" i="4"/>
  <c r="J23" i="4"/>
  <c r="F23" i="4"/>
  <c r="K26" i="4"/>
  <c r="J26" i="4"/>
  <c r="I26" i="4"/>
  <c r="C26" i="4"/>
  <c r="B22" i="4" l="1"/>
  <c r="K22" i="4"/>
  <c r="D22" i="4"/>
  <c r="G22" i="4"/>
  <c r="P16" i="4" l="1"/>
  <c r="P17" i="4"/>
  <c r="P18" i="4"/>
  <c r="P19" i="4"/>
  <c r="P20" i="4"/>
  <c r="P21" i="4"/>
  <c r="P22" i="4"/>
  <c r="P23" i="4"/>
  <c r="P24" i="4"/>
  <c r="B21" i="4"/>
  <c r="C21" i="4"/>
  <c r="J21" i="4"/>
  <c r="F21" i="4"/>
  <c r="H21" i="4"/>
  <c r="D21" i="4"/>
  <c r="F20" i="4" l="1"/>
  <c r="C20" i="4"/>
  <c r="F19" i="4"/>
  <c r="H18" i="4" l="1"/>
  <c r="F18" i="4"/>
  <c r="B18" i="4"/>
  <c r="C18" i="4"/>
  <c r="J18" i="4"/>
  <c r="H17" i="4"/>
  <c r="F17" i="4"/>
  <c r="B17" i="4"/>
  <c r="D17" i="4"/>
  <c r="C16" i="4" l="1"/>
  <c r="B16" i="4"/>
  <c r="L32" i="4" l="1"/>
  <c r="M32" i="4"/>
  <c r="N32" i="4"/>
  <c r="O32" i="4"/>
  <c r="B15" i="4"/>
  <c r="C15" i="4"/>
  <c r="J15" i="4"/>
  <c r="G15" i="4"/>
  <c r="K15" i="4"/>
  <c r="D15" i="4"/>
  <c r="C14" i="4"/>
  <c r="B14" i="4"/>
  <c r="B13" i="4"/>
  <c r="D13" i="4"/>
  <c r="B12" i="4"/>
  <c r="J12" i="4"/>
  <c r="C12" i="4"/>
  <c r="I12" i="4"/>
  <c r="D12" i="4"/>
  <c r="E12" i="4"/>
  <c r="K12" i="4"/>
  <c r="P13" i="4" l="1"/>
  <c r="P15" i="4"/>
  <c r="P14" i="4"/>
  <c r="P12" i="4"/>
  <c r="P13" i="3"/>
  <c r="P14" i="3"/>
  <c r="P15" i="3"/>
  <c r="P16" i="3"/>
  <c r="P17" i="3"/>
  <c r="P18" i="3"/>
  <c r="P19" i="3"/>
  <c r="P20" i="3"/>
  <c r="P21" i="3"/>
  <c r="P22" i="3"/>
  <c r="P23" i="3"/>
  <c r="B20" i="3"/>
  <c r="B21" i="3" l="1"/>
  <c r="C21" i="3"/>
  <c r="J21" i="3"/>
  <c r="D21" i="3"/>
  <c r="C19" i="3"/>
  <c r="I19" i="3"/>
  <c r="J19" i="3"/>
  <c r="B18" i="3"/>
  <c r="B17" i="3"/>
  <c r="C17" i="3"/>
  <c r="J17" i="3"/>
  <c r="C16" i="3"/>
  <c r="J16" i="3"/>
  <c r="B15" i="3"/>
  <c r="J15" i="3"/>
  <c r="C15" i="3"/>
  <c r="B23" i="3"/>
  <c r="H23" i="3"/>
  <c r="F23" i="3"/>
  <c r="B13" i="3"/>
  <c r="B12" i="3"/>
  <c r="K12" i="3"/>
  <c r="C12" i="3"/>
  <c r="J12" i="3"/>
  <c r="D12" i="3"/>
  <c r="P24" i="3" l="1"/>
  <c r="G24" i="3" l="1"/>
  <c r="H24" i="3"/>
  <c r="I24" i="3"/>
  <c r="J24" i="3"/>
  <c r="K24" i="3"/>
  <c r="L24" i="3"/>
  <c r="M24" i="3"/>
  <c r="N24" i="3"/>
  <c r="O24" i="3"/>
  <c r="B30" i="2" l="1"/>
  <c r="J30" i="2"/>
  <c r="C30" i="2"/>
  <c r="C31" i="2" s="1"/>
  <c r="D30" i="2"/>
  <c r="B29" i="2"/>
  <c r="D29" i="2"/>
  <c r="B28" i="2"/>
  <c r="C27" i="2"/>
  <c r="J27" i="2"/>
  <c r="P27" i="2" s="1"/>
  <c r="B26" i="2"/>
  <c r="J26" i="2"/>
  <c r="C26" i="2"/>
  <c r="D26" i="2"/>
  <c r="D31" i="2" s="1"/>
  <c r="B25" i="2"/>
  <c r="K25" i="2"/>
  <c r="B24" i="2"/>
  <c r="D24" i="2"/>
  <c r="E31" i="2"/>
  <c r="F31" i="2"/>
  <c r="G31" i="2"/>
  <c r="H31" i="2"/>
  <c r="I31" i="2"/>
  <c r="J31" i="2"/>
  <c r="K31" i="2"/>
  <c r="L31" i="2"/>
  <c r="M31" i="2"/>
  <c r="N31" i="2"/>
  <c r="O31" i="2"/>
  <c r="P13" i="2"/>
  <c r="P14" i="2"/>
  <c r="P15" i="2"/>
  <c r="P16" i="2"/>
  <c r="P17" i="2"/>
  <c r="P18" i="2"/>
  <c r="P19" i="2"/>
  <c r="P20" i="2"/>
  <c r="P21" i="2"/>
  <c r="P22" i="2"/>
  <c r="P23" i="2"/>
  <c r="P24" i="2"/>
  <c r="P28" i="2"/>
  <c r="P12" i="2"/>
  <c r="P30" i="2" l="1"/>
  <c r="P29" i="2"/>
  <c r="P26" i="2"/>
  <c r="B31" i="2"/>
  <c r="P25" i="2"/>
  <c r="P31" i="2" l="1"/>
  <c r="E22" i="2" l="1"/>
  <c r="B22" i="2"/>
  <c r="B21" i="2"/>
  <c r="B20" i="2"/>
  <c r="E20" i="2"/>
  <c r="B19" i="2"/>
  <c r="B12" i="2" l="1"/>
  <c r="B18" i="2"/>
  <c r="J17" i="2"/>
  <c r="C17" i="2"/>
  <c r="B17" i="2"/>
  <c r="B16" i="2"/>
  <c r="B15" i="2"/>
  <c r="J15" i="2"/>
  <c r="C15" i="2"/>
  <c r="B14" i="2"/>
  <c r="C14" i="2"/>
  <c r="J14" i="2"/>
  <c r="B13" i="2"/>
  <c r="J12" i="2"/>
  <c r="C12" i="2"/>
  <c r="D12" i="2"/>
  <c r="P12" i="3" l="1"/>
  <c r="R19" i="13" l="1"/>
  <c r="R22" i="13"/>
  <c r="R25" i="13"/>
  <c r="R26" i="13"/>
  <c r="R28" i="13"/>
  <c r="R27" i="13"/>
  <c r="R24" i="13" l="1"/>
  <c r="R23" i="13" l="1"/>
  <c r="R21" i="13" l="1"/>
  <c r="R20" i="13" l="1"/>
  <c r="R17" i="13"/>
  <c r="R18" i="13"/>
  <c r="C29" i="13" l="1"/>
  <c r="B29" i="13"/>
  <c r="R14" i="13" l="1"/>
  <c r="R15" i="13"/>
  <c r="R16" i="13"/>
  <c r="Q29" i="13" l="1"/>
  <c r="P29" i="13"/>
  <c r="O29" i="13"/>
  <c r="N29" i="13"/>
  <c r="J29" i="13"/>
  <c r="I29" i="13"/>
  <c r="H29" i="13"/>
  <c r="G29" i="13"/>
  <c r="F29" i="13"/>
  <c r="O22" i="12"/>
  <c r="N22" i="12"/>
  <c r="M22" i="12"/>
  <c r="H22" i="12"/>
  <c r="G22" i="12"/>
  <c r="F22" i="12"/>
  <c r="P21" i="12"/>
  <c r="I22" i="12"/>
  <c r="P19" i="12"/>
  <c r="P18" i="12"/>
  <c r="L22" i="12"/>
  <c r="K22" i="12"/>
  <c r="P16" i="12"/>
  <c r="P15" i="12"/>
  <c r="P14" i="12"/>
  <c r="E22" i="12"/>
  <c r="D22" i="12"/>
  <c r="C22" i="12"/>
  <c r="O25" i="11"/>
  <c r="N25" i="11"/>
  <c r="M25" i="11"/>
  <c r="I25" i="11"/>
  <c r="G25" i="11"/>
  <c r="P24" i="11"/>
  <c r="P23" i="11"/>
  <c r="P22" i="11"/>
  <c r="P21" i="11"/>
  <c r="P20" i="11"/>
  <c r="P19" i="11"/>
  <c r="L25" i="11"/>
  <c r="P18" i="11"/>
  <c r="P17" i="11"/>
  <c r="P16" i="11"/>
  <c r="H25" i="11"/>
  <c r="E25" i="11"/>
  <c r="P15" i="11"/>
  <c r="P13" i="11"/>
  <c r="J25" i="11"/>
  <c r="O24" i="10"/>
  <c r="N24" i="10"/>
  <c r="M24" i="10"/>
  <c r="L24" i="10"/>
  <c r="I24" i="10"/>
  <c r="H24" i="10"/>
  <c r="G24" i="10"/>
  <c r="F24" i="10"/>
  <c r="E24" i="10"/>
  <c r="D24" i="10"/>
  <c r="C24" i="10"/>
  <c r="P23" i="10"/>
  <c r="P22" i="10"/>
  <c r="P21" i="10"/>
  <c r="P20" i="10"/>
  <c r="P19" i="10"/>
  <c r="P18" i="10"/>
  <c r="P17" i="10"/>
  <c r="P16" i="10"/>
  <c r="P15" i="10"/>
  <c r="P14" i="10"/>
  <c r="P13" i="10"/>
  <c r="J24" i="10"/>
  <c r="B24" i="10"/>
  <c r="O26" i="9"/>
  <c r="N26" i="9"/>
  <c r="M26" i="9"/>
  <c r="I26" i="9"/>
  <c r="H26" i="9"/>
  <c r="G26" i="9"/>
  <c r="F26" i="9"/>
  <c r="B26" i="9"/>
  <c r="P25" i="9"/>
  <c r="P24" i="9"/>
  <c r="P23" i="9"/>
  <c r="P22" i="9"/>
  <c r="P21" i="9"/>
  <c r="P20" i="9"/>
  <c r="P19" i="9"/>
  <c r="P18" i="9"/>
  <c r="L26" i="9"/>
  <c r="K26" i="9"/>
  <c r="P17" i="9"/>
  <c r="P16" i="9"/>
  <c r="P15" i="9"/>
  <c r="P14" i="9"/>
  <c r="P13" i="9"/>
  <c r="J26" i="9"/>
  <c r="E26" i="9"/>
  <c r="D26" i="9"/>
  <c r="C26" i="9"/>
  <c r="F24" i="3"/>
  <c r="D21" i="1"/>
  <c r="D20" i="1"/>
  <c r="D17" i="1"/>
  <c r="C24" i="3"/>
  <c r="D15" i="1"/>
  <c r="D14" i="1"/>
  <c r="D8" i="1"/>
  <c r="E24" i="3"/>
  <c r="B22" i="1"/>
  <c r="B21" i="1"/>
  <c r="B20" i="1"/>
  <c r="B19" i="1"/>
  <c r="B18" i="1"/>
  <c r="B16" i="1"/>
  <c r="B15" i="1"/>
  <c r="B14" i="1"/>
  <c r="B12" i="1"/>
  <c r="B10" i="1"/>
  <c r="B8" i="1"/>
  <c r="B38" i="1"/>
  <c r="B37" i="1"/>
  <c r="B35" i="1"/>
  <c r="B34" i="1"/>
  <c r="B30" i="1"/>
  <c r="B29" i="1"/>
  <c r="X25" i="1"/>
  <c r="V25" i="1"/>
  <c r="T25" i="1"/>
  <c r="B36" i="1" s="1"/>
  <c r="R25" i="1"/>
  <c r="P25" i="1"/>
  <c r="N25" i="1"/>
  <c r="B33" i="1" s="1"/>
  <c r="L25" i="1"/>
  <c r="B32" i="1" s="1"/>
  <c r="J25" i="1"/>
  <c r="B31" i="1" s="1"/>
  <c r="H25" i="1"/>
  <c r="F25" i="1"/>
  <c r="D18" i="1"/>
  <c r="D11" i="1"/>
  <c r="D9" i="1"/>
  <c r="B17" i="1" l="1"/>
  <c r="P13" i="12"/>
  <c r="J22" i="12"/>
  <c r="B22" i="12"/>
  <c r="C25" i="11"/>
  <c r="F25" i="11"/>
  <c r="D25" i="11"/>
  <c r="P14" i="11"/>
  <c r="B24" i="3"/>
  <c r="D13" i="1"/>
  <c r="D16" i="1"/>
  <c r="D12" i="1"/>
  <c r="B11" i="1"/>
  <c r="B13" i="1"/>
  <c r="B23" i="1"/>
  <c r="B9" i="1"/>
  <c r="R13" i="13"/>
  <c r="M29" i="13"/>
  <c r="R12" i="13"/>
  <c r="E29" i="13"/>
  <c r="K29" i="13"/>
  <c r="L29" i="13"/>
  <c r="D29" i="13"/>
  <c r="K24" i="10"/>
  <c r="B25" i="11"/>
  <c r="D10" i="1"/>
  <c r="D19" i="1"/>
  <c r="D24" i="3"/>
  <c r="K25" i="11"/>
  <c r="P17" i="12"/>
  <c r="P12" i="11"/>
  <c r="P12" i="12"/>
  <c r="P20" i="12"/>
  <c r="B7" i="1"/>
  <c r="P12" i="10"/>
  <c r="P24" i="10" s="1"/>
  <c r="P12" i="9"/>
  <c r="P26" i="9" s="1"/>
  <c r="R29" i="13" l="1"/>
  <c r="P25" i="11"/>
  <c r="B25" i="1"/>
  <c r="B27" i="1" s="1"/>
  <c r="P22" i="12"/>
  <c r="D7" i="1"/>
  <c r="D25" i="1" s="1"/>
  <c r="B28" i="1" s="1"/>
  <c r="Y25" i="1" l="1"/>
</calcChain>
</file>

<file path=xl/sharedStrings.xml><?xml version="1.0" encoding="utf-8"?>
<sst xmlns="http://schemas.openxmlformats.org/spreadsheetml/2006/main" count="281" uniqueCount="49">
  <si>
    <t xml:space="preserve">Valor da Receita total do CRMV </t>
  </si>
  <si>
    <t>total</t>
  </si>
  <si>
    <t>TOTAIS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</si>
  <si>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</si>
  <si>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</si>
  <si>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</si>
  <si>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</si>
  <si>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</si>
  <si>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</si>
  <si>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</si>
  <si>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</si>
  <si>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</si>
  <si>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</si>
  <si>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</si>
  <si>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</si>
  <si>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Modelo para rateio dos recebimentos</t>
  </si>
  <si>
    <t>Anuidade PF 2022</t>
  </si>
  <si>
    <t>Anuidade PF anos anteriores</t>
  </si>
  <si>
    <t>Anuidade PJ 2022</t>
  </si>
  <si>
    <t>Anuidade PJ anos anteriores</t>
  </si>
  <si>
    <t>Taxa Expedição de Carteira</t>
  </si>
  <si>
    <t>Taxa Inscr. PJ</t>
  </si>
  <si>
    <t>Taxa Insc. PF</t>
  </si>
  <si>
    <t>Multa Eleitoral</t>
  </si>
  <si>
    <t>Custo de Expediente</t>
  </si>
  <si>
    <t>Taxa ART</t>
  </si>
  <si>
    <t>Cert. Regularidade</t>
  </si>
  <si>
    <t>Juros</t>
  </si>
  <si>
    <t>Multas</t>
  </si>
  <si>
    <t>Atualização</t>
  </si>
  <si>
    <t>Anuidade PF 2023</t>
  </si>
  <si>
    <t>Anuidade PJ 2023</t>
  </si>
  <si>
    <t xml:space="preserve"> Macapá-AP, 31 de janeiro de 2023.</t>
  </si>
  <si>
    <t xml:space="preserve"> Macapá-AP, 28 de fevereiro de 2023.</t>
  </si>
  <si>
    <t>Macapá-AP, 30 de abril de 2023.</t>
  </si>
  <si>
    <t>Macapá-AP, 31 de março de 2023.</t>
  </si>
  <si>
    <t>Macapá-AP, 31 de maio de 2023.</t>
  </si>
  <si>
    <t>Macapá-AP, 31 de agosto de 2023.</t>
  </si>
  <si>
    <t>Macapá-AP, 30 de setembro de 2023.</t>
  </si>
  <si>
    <t>Macapá-AP, 31 de outubro de 2023.</t>
  </si>
  <si>
    <t>Macapá-AP, 30 de novembro de 2023.</t>
  </si>
  <si>
    <t>Macapá-AP, 30 de dezembro de 2023.</t>
  </si>
  <si>
    <t>Planilha Diária de Valores repassados ao CFMV 25%</t>
  </si>
  <si>
    <t>o</t>
  </si>
  <si>
    <t>Valor do Recebimento liquido (já descontado a cota parte do CFMV) 25%</t>
  </si>
  <si>
    <t>Certificado de Credenciamento</t>
  </si>
  <si>
    <t>Macapá-AP, 30 de junho de 2023.</t>
  </si>
  <si>
    <t>Macapá-AP, 31 de julho de 2023.</t>
  </si>
  <si>
    <t>Credenciamento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</si>
</sst>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d/mmm"/>
    <numFmt numFmtId="165" formatCode="_-* #,##0.00_-;\-* #,##0.00_-;_-* \-??_-;_-@_-"/>
  </numFmts>
  <fonts count="8" x14ac:knownFonts="1">
    <font>
      <sz val="11"/>
      <color rgb="FF000000"/>
      <name val="Calibri"/>
      <family val="2"/>
      <charset val="1"/>
    </font>
    <font>
      <sz val="8"/>
      <color rgb="FF000000"/>
      <name val="Calibri"/>
      <family val="2"/>
      <charset val="1"/>
    </font>
    <font>
      <b/>
      <sz val="8"/>
      <color rgb="FF000000"/>
      <name val="Calibri"/>
      <family val="2"/>
      <charset val="1"/>
    </font>
    <font>
      <sz val="8"/>
      <color rgb="FF002060"/>
      <name val="Calibri"/>
      <family val="2"/>
      <charset val="1"/>
    </font>
    <font>
      <sz val="9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sz val="8"/>
      <name val="Calibri"/>
      <family val="2"/>
      <charset val="1"/>
    </font>
  </fonts>
  <fills count="11">
    <fill>
      <patternFill patternType="none"/>
    </fill>
    <fill>
      <patternFill patternType="gray125"/>
    </fill>
    <fill>
      <patternFill patternType="solid">
        <fgColor rgb="FFA6A6A6"/>
        <bgColor rgb="FFBFBFBF"/>
      </patternFill>
    </fill>
    <fill>
      <patternFill patternType="solid">
        <fgColor rgb="FFBFBFBF"/>
        <bgColor rgb="FFC3D69B"/>
      </patternFill>
    </fill>
    <fill>
      <patternFill patternType="solid">
        <fgColor rgb="FFFFFFFF"/>
        <bgColor rgb="FFE6F7FF"/>
      </patternFill>
    </fill>
    <fill>
      <patternFill patternType="solid">
        <fgColor rgb="FFC3D69B"/>
        <bgColor rgb="FFBFBFBF"/>
      </patternFill>
    </fill>
    <fill>
      <patternFill patternType="solid">
        <fgColor rgb="FF808080"/>
        <bgColor rgb="FF878787"/>
      </patternFill>
    </fill>
    <fill>
      <patternFill patternType="solid">
        <fgColor rgb="FFD9D9D9"/>
        <bgColor rgb="FFFFE5E5"/>
      </patternFill>
    </fill>
    <fill>
      <patternFill patternType="solid">
        <fgColor rgb="FF92D050"/>
        <bgColor rgb="FF81D41A"/>
      </patternFill>
    </fill>
    <fill>
      <patternFill patternType="solid">
        <fgColor rgb="FF81D41A"/>
        <bgColor rgb="FF92D050"/>
      </patternFill>
    </fill>
    <fill>
      <patternFill patternType="solid">
        <fgColor theme="0" tint="-0.14999847407452621"/>
        <bgColor rgb="FF92D050"/>
      </patternFill>
    </fill>
  </fills>
  <borders count="10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165" fontId="5" fillId="0" borderId="0" applyBorder="0" applyProtection="0"/>
    <xf numFmtId="44" fontId="5" fillId="0" borderId="0" applyFont="0" applyFill="0" applyBorder="0" applyAlignment="0" applyProtection="0"/>
  </cellStyleXfs>
  <cellXfs count="60">
    <xf numFmtId="0" fontId="0" fillId="0" borderId="0" xfId="0"/>
    <xf numFmtId="0" fontId="0" fillId="0" borderId="0" xfId="0" applyAlignment="1" applyProtection="1"/>
    <xf numFmtId="0" fontId="1" fillId="0" borderId="0" xfId="0" applyFont="1" applyAlignment="1" applyProtection="1"/>
    <xf numFmtId="0" fontId="0" fillId="3" borderId="0" xfId="0" applyFill="1" applyAlignment="1" applyProtection="1"/>
    <xf numFmtId="164" fontId="3" fillId="3" borderId="4" xfId="0" applyNumberFormat="1" applyFont="1" applyFill="1" applyBorder="1" applyAlignment="1" applyProtection="1">
      <alignment horizontal="center" vertical="center" wrapText="1"/>
    </xf>
    <xf numFmtId="165" fontId="2" fillId="4" borderId="3" xfId="1" applyFont="1" applyFill="1" applyBorder="1" applyAlignment="1" applyProtection="1"/>
    <xf numFmtId="164" fontId="1" fillId="3" borderId="4" xfId="0" applyNumberFormat="1" applyFont="1" applyFill="1" applyBorder="1" applyAlignment="1" applyProtection="1">
      <alignment horizontal="center" vertical="center" wrapText="1"/>
    </xf>
    <xf numFmtId="164" fontId="3" fillId="3" borderId="3" xfId="0" applyNumberFormat="1" applyFont="1" applyFill="1" applyBorder="1" applyAlignment="1" applyProtection="1">
      <alignment horizontal="center" vertical="center" wrapText="1"/>
    </xf>
    <xf numFmtId="164" fontId="1" fillId="3" borderId="3" xfId="0" applyNumberFormat="1" applyFont="1" applyFill="1" applyBorder="1" applyAlignment="1" applyProtection="1">
      <alignment horizontal="center" vertical="center" wrapText="1"/>
    </xf>
    <xf numFmtId="164" fontId="1" fillId="5" borderId="3" xfId="0" applyNumberFormat="1" applyFont="1" applyFill="1" applyBorder="1" applyAlignment="1" applyProtection="1">
      <alignment horizontal="center" vertical="center" wrapText="1"/>
    </xf>
    <xf numFmtId="165" fontId="2" fillId="5" borderId="3" xfId="1" applyFont="1" applyFill="1" applyBorder="1" applyAlignment="1" applyProtection="1"/>
    <xf numFmtId="165" fontId="2" fillId="5" borderId="5" xfId="1" applyFont="1" applyFill="1" applyBorder="1" applyAlignment="1" applyProtection="1"/>
    <xf numFmtId="165" fontId="0" fillId="6" borderId="6" xfId="0" applyNumberFormat="1" applyFill="1" applyBorder="1" applyAlignment="1" applyProtection="1"/>
    <xf numFmtId="165" fontId="0" fillId="0" borderId="0" xfId="0" applyNumberFormat="1" applyAlignment="1" applyProtection="1"/>
    <xf numFmtId="0" fontId="4" fillId="0" borderId="0" xfId="0" applyFont="1" applyAlignment="1" applyProtection="1"/>
    <xf numFmtId="164" fontId="1" fillId="4" borderId="4" xfId="0" applyNumberFormat="1" applyFont="1" applyFill="1" applyBorder="1" applyAlignment="1" applyProtection="1">
      <alignment horizontal="center" vertical="center" wrapText="1"/>
    </xf>
    <xf numFmtId="165" fontId="1" fillId="4" borderId="3" xfId="1" applyFont="1" applyFill="1" applyBorder="1" applyAlignment="1" applyProtection="1"/>
    <xf numFmtId="165" fontId="1" fillId="7" borderId="3" xfId="1" applyFont="1" applyFill="1" applyBorder="1" applyAlignment="1" applyProtection="1"/>
    <xf numFmtId="165" fontId="1" fillId="0" borderId="3" xfId="1" applyFont="1" applyBorder="1" applyAlignment="1" applyProtection="1"/>
    <xf numFmtId="164" fontId="1" fillId="4" borderId="3" xfId="0" applyNumberFormat="1" applyFont="1" applyFill="1" applyBorder="1" applyAlignment="1" applyProtection="1">
      <alignment horizontal="center" vertical="center" wrapText="1"/>
    </xf>
    <xf numFmtId="165" fontId="1" fillId="8" borderId="5" xfId="1" applyFont="1" applyFill="1" applyBorder="1" applyAlignment="1" applyProtection="1"/>
    <xf numFmtId="165" fontId="1" fillId="8" borderId="7" xfId="1" applyFont="1" applyFill="1" applyBorder="1" applyAlignment="1" applyProtection="1"/>
    <xf numFmtId="165" fontId="1" fillId="4" borderId="7" xfId="1" applyFont="1" applyFill="1" applyBorder="1" applyAlignment="1" applyProtection="1"/>
    <xf numFmtId="165" fontId="1" fillId="4" borderId="8" xfId="1" applyFont="1" applyFill="1" applyBorder="1" applyAlignment="1" applyProtection="1"/>
    <xf numFmtId="165" fontId="2" fillId="8" borderId="3" xfId="1" applyFont="1" applyFill="1" applyBorder="1" applyAlignment="1" applyProtection="1"/>
    <xf numFmtId="164" fontId="1" fillId="0" borderId="0" xfId="0" applyNumberFormat="1" applyFont="1" applyBorder="1" applyAlignment="1" applyProtection="1">
      <alignment horizontal="center" vertical="center" wrapText="1"/>
    </xf>
    <xf numFmtId="165" fontId="1" fillId="0" borderId="0" xfId="1" applyFont="1" applyBorder="1" applyAlignment="1" applyProtection="1"/>
    <xf numFmtId="165" fontId="2" fillId="0" borderId="0" xfId="1" applyFont="1" applyBorder="1" applyAlignment="1" applyProtection="1"/>
    <xf numFmtId="164" fontId="1" fillId="0" borderId="4" xfId="0" applyNumberFormat="1" applyFont="1" applyBorder="1" applyAlignment="1" applyProtection="1">
      <alignment horizontal="center" vertical="center" wrapText="1"/>
    </xf>
    <xf numFmtId="165" fontId="1" fillId="0" borderId="0" xfId="0" applyNumberFormat="1" applyFont="1" applyAlignment="1" applyProtection="1"/>
    <xf numFmtId="164" fontId="1" fillId="0" borderId="3" xfId="0" applyNumberFormat="1" applyFont="1" applyBorder="1" applyAlignment="1" applyProtection="1">
      <alignment horizontal="center" vertical="center" wrapText="1"/>
    </xf>
    <xf numFmtId="164" fontId="2" fillId="0" borderId="3" xfId="0" applyNumberFormat="1" applyFont="1" applyBorder="1" applyAlignment="1" applyProtection="1">
      <alignment horizontal="center" vertical="center" wrapText="1"/>
    </xf>
    <xf numFmtId="165" fontId="1" fillId="4" borderId="0" xfId="1" applyFont="1" applyFill="1" applyBorder="1" applyAlignment="1" applyProtection="1"/>
    <xf numFmtId="4" fontId="1" fillId="4" borderId="3" xfId="1" applyNumberFormat="1" applyFont="1" applyFill="1" applyBorder="1" applyAlignment="1" applyProtection="1"/>
    <xf numFmtId="165" fontId="2" fillId="9" borderId="5" xfId="1" applyFont="1" applyFill="1" applyBorder="1" applyAlignment="1" applyProtection="1"/>
    <xf numFmtId="165" fontId="2" fillId="4" borderId="5" xfId="1" applyFont="1" applyFill="1" applyBorder="1" applyAlignment="1" applyProtection="1"/>
    <xf numFmtId="165" fontId="2" fillId="9" borderId="3" xfId="1" applyFont="1" applyFill="1" applyBorder="1" applyAlignment="1" applyProtection="1"/>
    <xf numFmtId="0" fontId="2" fillId="0" borderId="0" xfId="0" applyFont="1" applyAlignment="1" applyProtection="1"/>
    <xf numFmtId="165" fontId="2" fillId="0" borderId="0" xfId="0" applyNumberFormat="1" applyFont="1" applyAlignment="1" applyProtection="1"/>
    <xf numFmtId="165" fontId="1" fillId="9" borderId="5" xfId="1" applyFont="1" applyFill="1" applyBorder="1" applyAlignment="1" applyProtection="1"/>
    <xf numFmtId="165" fontId="2" fillId="9" borderId="8" xfId="1" applyFont="1" applyFill="1" applyBorder="1" applyAlignment="1" applyProtection="1"/>
    <xf numFmtId="165" fontId="1" fillId="4" borderId="5" xfId="1" applyFont="1" applyFill="1" applyBorder="1" applyAlignment="1" applyProtection="1"/>
    <xf numFmtId="165" fontId="1" fillId="9" borderId="7" xfId="1" applyFont="1" applyFill="1" applyBorder="1" applyAlignment="1" applyProtection="1"/>
    <xf numFmtId="44" fontId="1" fillId="4" borderId="4" xfId="2" applyFont="1" applyFill="1" applyBorder="1" applyAlignment="1" applyProtection="1">
      <alignment horizontal="center" wrapText="1"/>
    </xf>
    <xf numFmtId="0" fontId="6" fillId="0" borderId="0" xfId="0" applyFont="1" applyAlignment="1" applyProtection="1"/>
    <xf numFmtId="43" fontId="1" fillId="0" borderId="0" xfId="0" applyNumberFormat="1" applyFont="1" applyAlignment="1" applyProtection="1"/>
    <xf numFmtId="165" fontId="7" fillId="10" borderId="5" xfId="1" applyFont="1" applyFill="1" applyBorder="1" applyAlignment="1" applyProtection="1"/>
    <xf numFmtId="165" fontId="1" fillId="9" borderId="3" xfId="1" applyFont="1" applyFill="1" applyBorder="1" applyAlignment="1" applyProtection="1"/>
    <xf numFmtId="0" fontId="1" fillId="0" borderId="0" xfId="0" applyFont="1" applyBorder="1" applyAlignment="1" applyProtection="1">
      <alignment horizontal="center" wrapText="1"/>
    </xf>
    <xf numFmtId="17" fontId="1" fillId="2" borderId="1" xfId="0" applyNumberFormat="1" applyFont="1" applyFill="1" applyBorder="1" applyAlignment="1" applyProtection="1">
      <alignment horizontal="center" wrapText="1"/>
    </xf>
    <xf numFmtId="0" fontId="1" fillId="2" borderId="2" xfId="0" applyFont="1" applyFill="1" applyBorder="1" applyAlignment="1" applyProtection="1">
      <alignment horizontal="center" vertical="center" wrapText="1"/>
    </xf>
    <xf numFmtId="0" fontId="2" fillId="2" borderId="3" xfId="0" applyFont="1" applyFill="1" applyBorder="1" applyAlignment="1" applyProtection="1">
      <alignment horizontal="center" vertical="center" wrapText="1"/>
    </xf>
    <xf numFmtId="17" fontId="1" fillId="0" borderId="3" xfId="0" applyNumberFormat="1" applyFont="1" applyBorder="1" applyAlignment="1" applyProtection="1">
      <alignment horizontal="center" wrapText="1"/>
    </xf>
    <xf numFmtId="0" fontId="1" fillId="0" borderId="2" xfId="0" applyFont="1" applyBorder="1" applyAlignment="1" applyProtection="1">
      <alignment horizontal="center" vertical="center" wrapText="1"/>
    </xf>
    <xf numFmtId="0" fontId="1" fillId="0" borderId="3" xfId="0" applyFont="1" applyBorder="1" applyAlignment="1" applyProtection="1">
      <alignment horizontal="center" vertical="center" wrapText="1"/>
    </xf>
    <xf numFmtId="0" fontId="1" fillId="7" borderId="3" xfId="0" applyFont="1" applyFill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center" wrapText="1"/>
    </xf>
    <xf numFmtId="165" fontId="1" fillId="0" borderId="9" xfId="1" applyFont="1" applyBorder="1" applyAlignment="1" applyProtection="1">
      <alignment horizontal="right"/>
    </xf>
    <xf numFmtId="165" fontId="1" fillId="0" borderId="0" xfId="1" applyFont="1" applyBorder="1" applyAlignment="1" applyProtection="1">
      <alignment horizontal="right"/>
    </xf>
    <xf numFmtId="164" fontId="1" fillId="0" borderId="9" xfId="0" applyNumberFormat="1" applyFont="1" applyBorder="1" applyAlignment="1" applyProtection="1">
      <alignment horizontal="left" vertical="center" wrapText="1"/>
    </xf>
  </cellXfs>
  <cellStyles count="3">
    <cellStyle name="Moeda" xfId="2" builtinId="4"/>
    <cellStyle name="Normal" xfId="0" builtinId="0"/>
    <cellStyle name="Vírgula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A6A6A6"/>
      <rgbColor rgb="FFBE4B48"/>
      <rgbColor rgb="FFFFE5E5"/>
      <rgbColor rgb="FFE6F7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BFECFF"/>
      <rgbColor rgb="FFC3D69B"/>
      <rgbColor rgb="FFFFFF99"/>
      <rgbColor rgb="FF92D050"/>
      <rgbColor rgb="FFFF99CC"/>
      <rgbColor rgb="FFCC99FF"/>
      <rgbColor rgb="FFFFC1BE"/>
      <rgbColor rgb="FF3366FF"/>
      <rgbColor rgb="FF46AAC4"/>
      <rgbColor rgb="FF81D41A"/>
      <rgbColor rgb="FFFFCC00"/>
      <rgbColor rgb="FFFF9900"/>
      <rgbColor rgb="FFFF6600"/>
      <rgbColor rgb="FF666699"/>
      <rgbColor rgb="FF878787"/>
      <rgbColor rgb="FF002060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autoTitleDeleted val="1"/>
    <c:plotArea>
      <c:layout/>
      <c:lineChart>
        <c:grouping val="stacked"/>
        <c:varyColors val="0"/>
        <c:ser>
          <c:idx val="0"/>
          <c:order val="0"/>
          <c:spPr>
            <a:ln w="25560">
              <a:solidFill>
                <a:srgbClr val="000000"/>
              </a:solidFill>
              <a:round/>
            </a:ln>
          </c:spPr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pt-BR"/>
              </a:p>
            </c:txPr>
            <c:dLblPos val="r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'RECEITA TOTAL'!$A$27:$A$38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'RECEITA TOTAL'!$B$27:$B$38</c:f>
              <c:numCache>
                <c:formatCode>_-* #,##0.00_-;\-* #,##0.00_-;_-* \-??_-;_-@_-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0A7-4797-9AB3-6BB6E114C6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0">
              <a:noFill/>
            </a:ln>
          </c:spPr>
        </c:hiLowLines>
        <c:marker val="1"/>
        <c:smooth val="0"/>
        <c:axId val="96013931"/>
        <c:axId val="93084740"/>
      </c:lineChart>
      <c:catAx>
        <c:axId val="96013931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sz="1000" b="0" strike="noStrike" spc="-1">
                <a:solidFill>
                  <a:srgbClr val="000000"/>
                </a:solidFill>
                <a:latin typeface="Calibri"/>
              </a:defRPr>
            </a:pPr>
            <a:endParaRPr lang="pt-BR"/>
          </a:p>
        </c:txPr>
        <c:crossAx val="93084740"/>
        <c:crosses val="autoZero"/>
        <c:auto val="1"/>
        <c:lblAlgn val="ctr"/>
        <c:lblOffset val="100"/>
        <c:noMultiLvlLbl val="0"/>
      </c:catAx>
      <c:valAx>
        <c:axId val="93084740"/>
        <c:scaling>
          <c:orientation val="minMax"/>
        </c:scaling>
        <c:delete val="0"/>
        <c:axPos val="l"/>
        <c:majorGridlines>
          <c:spPr>
            <a:ln w="9360">
              <a:solidFill>
                <a:srgbClr val="878787"/>
              </a:solidFill>
              <a:round/>
            </a:ln>
          </c:spPr>
        </c:majorGridlines>
        <c:numFmt formatCode="_(* #,##0.00_);_(* \(#,##0.00\);_(* \-??_);_(@_)" sourceLinked="0"/>
        <c:majorTickMark val="out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sz="1000" b="0" strike="noStrike" spc="-1">
                <a:solidFill>
                  <a:srgbClr val="000000"/>
                </a:solidFill>
                <a:latin typeface="Calibri"/>
              </a:defRPr>
            </a:pPr>
            <a:endParaRPr lang="pt-BR"/>
          </a:p>
        </c:txPr>
        <c:crossAx val="96013931"/>
        <c:crosses val="autoZero"/>
        <c:crossBetween val="between"/>
      </c:valAx>
      <c:spPr>
        <a:gradFill>
          <a:gsLst>
            <a:gs pos="0">
              <a:srgbClr val="FFC1BE"/>
            </a:gs>
            <a:gs pos="100000">
              <a:srgbClr val="FFE5E5"/>
            </a:gs>
          </a:gsLst>
          <a:lin ang="16200000"/>
        </a:gradFill>
        <a:ln w="9360">
          <a:solidFill>
            <a:srgbClr val="BE4B48"/>
          </a:solidFill>
          <a:round/>
        </a:ln>
      </c:spPr>
    </c:plotArea>
    <c:legend>
      <c:legendPos val="r"/>
      <c:overlay val="0"/>
      <c:spPr>
        <a:noFill/>
        <a:ln w="0">
          <a:noFill/>
        </a:ln>
      </c:spPr>
      <c:txPr>
        <a:bodyPr/>
        <a:lstStyle/>
        <a:p>
          <a:pPr>
            <a:defRPr sz="1000" b="0" strike="noStrike" spc="-1">
              <a:solidFill>
                <a:srgbClr val="000000"/>
              </a:solidFill>
              <a:latin typeface="Calibri"/>
            </a:defRPr>
          </a:pPr>
          <a:endParaRPr lang="pt-BR"/>
        </a:p>
      </c:txPr>
    </c:legend>
    <c:plotVisOnly val="1"/>
    <c:dispBlanksAs val="zero"/>
    <c:showDLblsOverMax val="1"/>
  </c:chart>
  <c:spPr>
    <a:gradFill>
      <a:gsLst>
        <a:gs pos="0">
          <a:srgbClr val="BFECFF"/>
        </a:gs>
        <a:gs pos="100000">
          <a:srgbClr val="E6F7FF"/>
        </a:gs>
      </a:gsLst>
      <a:lin ang="16200000"/>
    </a:gradFill>
    <a:ln w="9360">
      <a:solidFill>
        <a:srgbClr val="46AAC4"/>
      </a:solidFill>
      <a:round/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157320</xdr:colOff>
      <xdr:row>26</xdr:row>
      <xdr:rowOff>28440</xdr:rowOff>
    </xdr:from>
    <xdr:to>
      <xdr:col>7</xdr:col>
      <xdr:colOff>371520</xdr:colOff>
      <xdr:row>38</xdr:row>
      <xdr:rowOff>66600</xdr:rowOff>
    </xdr:to>
    <xdr:graphicFrame macro="">
      <xdr:nvGraphicFramePr>
        <xdr:cNvPr id="2" name="Gráfico 1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EST&#195;O%20dayse-070622/2023/FINANCEIRO2023/012023/Planilhas%2025%25%20e%2075%25/25%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 25%"/>
      <sheetName val="FEV 25% "/>
      <sheetName val="MAR 25%"/>
      <sheetName val="ABR 25%"/>
      <sheetName val="MAIO 25%"/>
      <sheetName val="JUNHO 25%"/>
      <sheetName val="JULHO 25%"/>
      <sheetName val="AGOSTO 25% "/>
      <sheetName val="SETEMB 25%  "/>
      <sheetName val="OUTUB 25%"/>
      <sheetName val="NOVEM 25%"/>
      <sheetName val="DEZEM 25%"/>
    </sheetNames>
    <sheetDataSet>
      <sheetData sheetId="0">
        <row r="12">
          <cell r="P12">
            <v>354.23</v>
          </cell>
        </row>
        <row r="13">
          <cell r="P13">
            <v>312.18000000000006</v>
          </cell>
        </row>
        <row r="14">
          <cell r="P14">
            <v>125.73</v>
          </cell>
        </row>
        <row r="15">
          <cell r="P15">
            <v>143.69</v>
          </cell>
        </row>
        <row r="16">
          <cell r="P16">
            <v>110.5</v>
          </cell>
        </row>
        <row r="17">
          <cell r="P17">
            <v>150.23000000000002</v>
          </cell>
        </row>
        <row r="18">
          <cell r="P18">
            <v>960.25</v>
          </cell>
        </row>
        <row r="19">
          <cell r="P19">
            <v>223.56</v>
          </cell>
        </row>
        <row r="20">
          <cell r="P20">
            <v>628.76</v>
          </cell>
        </row>
        <row r="21">
          <cell r="P21">
            <v>305.75000000000006</v>
          </cell>
        </row>
        <row r="22">
          <cell r="P22">
            <v>335.34000000000003</v>
          </cell>
        </row>
        <row r="23">
          <cell r="P23">
            <v>26.3</v>
          </cell>
        </row>
        <row r="24">
          <cell r="P24">
            <v>448.55</v>
          </cell>
        </row>
        <row r="25">
          <cell r="P25">
            <v>223.56</v>
          </cell>
        </row>
        <row r="26">
          <cell r="P26">
            <v>278.81</v>
          </cell>
        </row>
        <row r="27">
          <cell r="P27">
            <v>279.45</v>
          </cell>
        </row>
        <row r="28">
          <cell r="P28">
            <v>1770.4399999999996</v>
          </cell>
        </row>
      </sheetData>
      <sheetData sheetId="1">
        <row r="12">
          <cell r="P12">
            <v>6696.7100000000019</v>
          </cell>
        </row>
        <row r="13">
          <cell r="P13">
            <v>89.550000000000011</v>
          </cell>
        </row>
        <row r="14">
          <cell r="P14">
            <v>65.75</v>
          </cell>
        </row>
        <row r="15">
          <cell r="P15">
            <v>29.990000000000002</v>
          </cell>
        </row>
        <row r="16">
          <cell r="P16">
            <v>32.880000000000003</v>
          </cell>
        </row>
        <row r="17">
          <cell r="P17">
            <v>203.65000000000003</v>
          </cell>
        </row>
        <row r="18">
          <cell r="P18">
            <v>665.06000000000006</v>
          </cell>
        </row>
        <row r="19">
          <cell r="P19">
            <v>495.9</v>
          </cell>
        </row>
        <row r="20">
          <cell r="P20">
            <v>118.35</v>
          </cell>
        </row>
        <row r="21">
          <cell r="P21">
            <v>76.160000000000025</v>
          </cell>
        </row>
        <row r="22">
          <cell r="P22">
            <v>232.78</v>
          </cell>
        </row>
        <row r="23">
          <cell r="P23">
            <v>92.25</v>
          </cell>
        </row>
        <row r="24">
          <cell r="P24">
            <v>376.13</v>
          </cell>
        </row>
        <row r="25">
          <cell r="P25">
            <v>93.56</v>
          </cell>
        </row>
        <row r="26">
          <cell r="P26">
            <v>52.6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2"/>
  <sheetViews>
    <sheetView topLeftCell="A4" zoomScaleNormal="100" workbookViewId="0">
      <selection activeCell="F7" sqref="F7"/>
    </sheetView>
  </sheetViews>
  <sheetFormatPr defaultColWidth="8.7109375" defaultRowHeight="15" x14ac:dyDescent="0.25"/>
  <cols>
    <col min="1" max="1" width="6.140625" style="1" customWidth="1"/>
    <col min="2" max="2" width="11.7109375" style="1" customWidth="1"/>
    <col min="4" max="4" width="11.7109375" style="1" customWidth="1"/>
    <col min="6" max="6" width="11.7109375" style="1" customWidth="1"/>
    <col min="8" max="8" width="10.7109375" style="1" customWidth="1"/>
    <col min="10" max="10" width="10.7109375" style="1" customWidth="1"/>
    <col min="12" max="12" width="10.7109375" style="1" customWidth="1"/>
    <col min="14" max="14" width="11.7109375" style="1" customWidth="1"/>
    <col min="16" max="16" width="10.7109375" style="1" customWidth="1"/>
    <col min="18" max="18" width="9.28515625" style="1" customWidth="1"/>
    <col min="20" max="20" width="9.28515625" style="1" customWidth="1"/>
    <col min="22" max="22" width="9.28515625" style="1" customWidth="1"/>
    <col min="24" max="24" width="9.28515625" style="1" customWidth="1"/>
    <col min="25" max="25" width="14.5703125" style="1" customWidth="1"/>
  </cols>
  <sheetData>
    <row r="1" spans="1:25" x14ac:dyDescent="0.25">
      <c r="A1" s="2"/>
      <c r="B1" s="2"/>
    </row>
    <row r="2" spans="1:25" ht="22.5" customHeight="1" x14ac:dyDescent="0.25">
      <c r="A2" s="48" t="s">
        <v>0</v>
      </c>
      <c r="B2" s="48"/>
      <c r="C2" s="48" t="s">
        <v>0</v>
      </c>
      <c r="D2" s="48"/>
      <c r="E2" s="48" t="s">
        <v>0</v>
      </c>
      <c r="F2" s="48"/>
      <c r="G2" s="48" t="s">
        <v>0</v>
      </c>
      <c r="H2" s="48"/>
      <c r="I2" s="48" t="s">
        <v>0</v>
      </c>
      <c r="J2" s="48"/>
      <c r="K2" s="48" t="s">
        <v>0</v>
      </c>
      <c r="L2" s="48"/>
      <c r="M2" s="48" t="s">
        <v>0</v>
      </c>
      <c r="N2" s="48"/>
      <c r="O2" s="48" t="s">
        <v>0</v>
      </c>
      <c r="P2" s="48"/>
      <c r="Q2" s="48" t="s">
        <v>0</v>
      </c>
      <c r="R2" s="48"/>
      <c r="S2" s="48" t="s">
        <v>0</v>
      </c>
      <c r="T2" s="48"/>
      <c r="U2" s="48" t="s">
        <v>0</v>
      </c>
      <c r="V2" s="48"/>
      <c r="W2" s="48" t="s">
        <v>0</v>
      </c>
      <c r="X2" s="48"/>
    </row>
    <row r="3" spans="1:25" x14ac:dyDescent="0.25">
      <c r="A3" s="49">
        <v>43831</v>
      </c>
      <c r="B3" s="49"/>
      <c r="C3" s="49">
        <v>43862</v>
      </c>
      <c r="D3" s="49"/>
      <c r="E3" s="49">
        <v>43891</v>
      </c>
      <c r="F3" s="49"/>
      <c r="G3" s="49">
        <v>43922</v>
      </c>
      <c r="H3" s="49"/>
      <c r="I3" s="49">
        <v>43952</v>
      </c>
      <c r="J3" s="49"/>
      <c r="K3" s="49">
        <v>43983</v>
      </c>
      <c r="L3" s="49"/>
      <c r="M3" s="49">
        <v>44013</v>
      </c>
      <c r="N3" s="49"/>
      <c r="O3" s="49">
        <v>44044</v>
      </c>
      <c r="P3" s="49"/>
      <c r="Q3" s="49">
        <v>44075</v>
      </c>
      <c r="R3" s="49"/>
      <c r="S3" s="49">
        <v>44105</v>
      </c>
      <c r="T3" s="49"/>
      <c r="U3" s="49">
        <v>44136</v>
      </c>
      <c r="V3" s="49"/>
      <c r="W3" s="49">
        <v>44166</v>
      </c>
      <c r="X3" s="49"/>
      <c r="Y3" s="3"/>
    </row>
    <row r="4" spans="1:25" ht="15" customHeight="1" x14ac:dyDescent="0.25">
      <c r="A4" s="50"/>
      <c r="B4" s="51" t="s">
        <v>1</v>
      </c>
      <c r="C4" s="50"/>
      <c r="D4" s="51" t="s">
        <v>1</v>
      </c>
      <c r="E4" s="50"/>
      <c r="F4" s="51" t="s">
        <v>1</v>
      </c>
      <c r="G4" s="50"/>
      <c r="H4" s="51" t="s">
        <v>1</v>
      </c>
      <c r="I4" s="50"/>
      <c r="J4" s="51" t="s">
        <v>1</v>
      </c>
      <c r="K4" s="50"/>
      <c r="L4" s="51" t="s">
        <v>1</v>
      </c>
      <c r="M4" s="50"/>
      <c r="N4" s="51" t="s">
        <v>1</v>
      </c>
      <c r="O4" s="50"/>
      <c r="P4" s="51" t="s">
        <v>1</v>
      </c>
      <c r="Q4" s="50"/>
      <c r="R4" s="51" t="s">
        <v>1</v>
      </c>
      <c r="S4" s="50"/>
      <c r="T4" s="51" t="s">
        <v>1</v>
      </c>
      <c r="U4" s="50"/>
      <c r="V4" s="51" t="s">
        <v>1</v>
      </c>
      <c r="W4" s="50"/>
      <c r="X4" s="51" t="s">
        <v>1</v>
      </c>
      <c r="Y4" s="3"/>
    </row>
    <row r="5" spans="1:25" x14ac:dyDescent="0.25">
      <c r="A5" s="50"/>
      <c r="B5" s="51"/>
      <c r="C5" s="50"/>
      <c r="D5" s="51"/>
      <c r="E5" s="50"/>
      <c r="F5" s="51"/>
      <c r="G5" s="50"/>
      <c r="H5" s="51"/>
      <c r="I5" s="50"/>
      <c r="J5" s="51"/>
      <c r="K5" s="50"/>
      <c r="L5" s="51"/>
      <c r="M5" s="50"/>
      <c r="N5" s="51"/>
      <c r="O5" s="50"/>
      <c r="P5" s="51"/>
      <c r="Q5" s="50"/>
      <c r="R5" s="51"/>
      <c r="S5" s="50"/>
      <c r="T5" s="51"/>
      <c r="U5" s="50"/>
      <c r="V5" s="51"/>
      <c r="W5" s="50"/>
      <c r="X5" s="51"/>
      <c r="Y5" s="3"/>
    </row>
    <row r="6" spans="1:25" x14ac:dyDescent="0.25">
      <c r="A6" s="50"/>
      <c r="B6" s="51"/>
      <c r="C6" s="50"/>
      <c r="D6" s="51"/>
      <c r="E6" s="50"/>
      <c r="F6" s="51"/>
      <c r="G6" s="50"/>
      <c r="H6" s="51"/>
      <c r="I6" s="50"/>
      <c r="J6" s="51"/>
      <c r="K6" s="50"/>
      <c r="L6" s="51"/>
      <c r="M6" s="50"/>
      <c r="N6" s="51"/>
      <c r="O6" s="50"/>
      <c r="P6" s="51"/>
      <c r="Q6" s="50"/>
      <c r="R6" s="51"/>
      <c r="S6" s="50"/>
      <c r="T6" s="51"/>
      <c r="U6" s="50"/>
      <c r="V6" s="51"/>
      <c r="W6" s="50"/>
      <c r="X6" s="51"/>
      <c r="Y6" s="3"/>
    </row>
    <row r="7" spans="1:25" x14ac:dyDescent="0.25">
      <c r="A7" s="4">
        <v>44564</v>
      </c>
      <c r="B7" s="5" t="e">
        <f>'JAN 25%'!#REF!+'[1]JAN 25%'!P12</f>
        <v>#REF!</v>
      </c>
      <c r="C7" s="4">
        <v>44228</v>
      </c>
      <c r="D7" s="5">
        <f>'FEV 25% '!P12+'[1]FEV 25% '!$P$12</f>
        <v>11505.760000000002</v>
      </c>
      <c r="E7" s="6">
        <v>43892</v>
      </c>
      <c r="F7" s="5"/>
      <c r="G7" s="6">
        <v>43556</v>
      </c>
      <c r="H7" s="5"/>
      <c r="I7" s="6">
        <v>43955</v>
      </c>
      <c r="J7" s="5"/>
      <c r="K7" s="6">
        <v>43983</v>
      </c>
      <c r="L7" s="5"/>
      <c r="M7" s="6">
        <v>44013</v>
      </c>
      <c r="N7" s="5"/>
      <c r="O7" s="6"/>
      <c r="P7" s="5"/>
      <c r="Q7" s="6"/>
      <c r="R7" s="5"/>
      <c r="S7" s="6"/>
      <c r="T7" s="5"/>
      <c r="U7" s="6"/>
      <c r="V7" s="5"/>
      <c r="W7" s="6"/>
      <c r="X7" s="5"/>
      <c r="Y7" s="3"/>
    </row>
    <row r="8" spans="1:25" x14ac:dyDescent="0.25">
      <c r="A8" s="4">
        <v>44565</v>
      </c>
      <c r="B8" s="5">
        <f>'JAN 25%'!P12+'[1]JAN 25%'!P13</f>
        <v>1863.8600000000001</v>
      </c>
      <c r="C8" s="7">
        <v>44229</v>
      </c>
      <c r="D8" s="5">
        <f>'FEV 25% '!P13+'[1]FEV 25% '!P13</f>
        <v>215.75</v>
      </c>
      <c r="E8" s="6">
        <v>43893</v>
      </c>
      <c r="F8" s="5"/>
      <c r="G8" s="6">
        <v>43557</v>
      </c>
      <c r="H8" s="5"/>
      <c r="I8" s="6">
        <v>43956</v>
      </c>
      <c r="J8" s="5"/>
      <c r="K8" s="6">
        <v>43984</v>
      </c>
      <c r="L8" s="5"/>
      <c r="M8" s="6">
        <v>44014</v>
      </c>
      <c r="N8" s="5"/>
      <c r="O8" s="6"/>
      <c r="P8" s="5"/>
      <c r="Q8" s="6"/>
      <c r="R8" s="5"/>
      <c r="S8" s="6"/>
      <c r="T8" s="5"/>
      <c r="U8" s="6"/>
      <c r="V8" s="5"/>
      <c r="W8" s="6"/>
      <c r="X8" s="5"/>
      <c r="Y8" s="3"/>
    </row>
    <row r="9" spans="1:25" x14ac:dyDescent="0.25">
      <c r="A9" s="4">
        <v>44566</v>
      </c>
      <c r="B9" s="5">
        <f>'JAN 25%'!P13+'[1]JAN 25%'!P14</f>
        <v>438.11</v>
      </c>
      <c r="C9" s="7">
        <v>44230</v>
      </c>
      <c r="D9" s="5">
        <f>'FEV 25% '!P14+'[1]FEV 25% '!P14</f>
        <v>435.2</v>
      </c>
      <c r="E9" s="6">
        <v>43894</v>
      </c>
      <c r="F9" s="5"/>
      <c r="G9" s="6">
        <v>43924</v>
      </c>
      <c r="H9" s="5"/>
      <c r="I9" s="6">
        <v>43958</v>
      </c>
      <c r="J9" s="5"/>
      <c r="K9" s="6">
        <v>43986</v>
      </c>
      <c r="L9" s="5"/>
      <c r="M9" s="6">
        <v>44015</v>
      </c>
      <c r="N9" s="5"/>
      <c r="O9" s="6"/>
      <c r="P9" s="5"/>
      <c r="Q9" s="6"/>
      <c r="R9" s="5"/>
      <c r="S9" s="6"/>
      <c r="T9" s="5"/>
      <c r="U9" s="6"/>
      <c r="V9" s="5"/>
      <c r="W9" s="6"/>
      <c r="X9" s="5"/>
      <c r="Y9" s="3"/>
    </row>
    <row r="10" spans="1:25" x14ac:dyDescent="0.25">
      <c r="A10" s="4">
        <v>44572</v>
      </c>
      <c r="B10" s="5">
        <f>'JAN 25%'!P14+'[1]JAN 25%'!P15</f>
        <v>675.46</v>
      </c>
      <c r="C10" s="7">
        <v>44599</v>
      </c>
      <c r="D10" s="5">
        <f>'FEV 25% '!P15+'[1]FEV 25% '!P15</f>
        <v>107.49000000000001</v>
      </c>
      <c r="E10" s="6">
        <v>43895</v>
      </c>
      <c r="F10" s="5"/>
      <c r="G10" s="6">
        <v>44050</v>
      </c>
      <c r="H10" s="5"/>
      <c r="I10" s="6">
        <v>43959</v>
      </c>
      <c r="J10" s="5"/>
      <c r="K10" s="6">
        <v>43987</v>
      </c>
      <c r="L10" s="5"/>
      <c r="M10" s="6">
        <v>44018</v>
      </c>
      <c r="N10" s="5"/>
      <c r="O10" s="6"/>
      <c r="P10" s="5"/>
      <c r="Q10" s="6"/>
      <c r="R10" s="5"/>
      <c r="S10" s="6"/>
      <c r="T10" s="5"/>
      <c r="U10" s="6"/>
      <c r="V10" s="5"/>
      <c r="W10" s="6"/>
      <c r="X10" s="5"/>
      <c r="Y10" s="3"/>
    </row>
    <row r="11" spans="1:25" x14ac:dyDescent="0.25">
      <c r="A11" s="7">
        <v>44573</v>
      </c>
      <c r="B11" s="5">
        <f>'JAN 25%'!P15+'[1]JAN 25%'!P16</f>
        <v>1094.22</v>
      </c>
      <c r="C11" s="7">
        <v>44600</v>
      </c>
      <c r="D11" s="5">
        <f>'FEV 25% '!P16+'[1]FEV 25% '!P16</f>
        <v>98.25</v>
      </c>
      <c r="E11" s="8">
        <v>43899</v>
      </c>
      <c r="F11" s="5"/>
      <c r="G11" s="8">
        <v>43929</v>
      </c>
      <c r="H11" s="5"/>
      <c r="I11" s="8">
        <v>43962</v>
      </c>
      <c r="J11" s="5"/>
      <c r="K11" s="6">
        <v>43990</v>
      </c>
      <c r="L11" s="5"/>
      <c r="M11" s="6">
        <v>44022</v>
      </c>
      <c r="N11" s="5"/>
      <c r="O11" s="6"/>
      <c r="P11" s="5"/>
      <c r="Q11" s="6"/>
      <c r="R11" s="5"/>
      <c r="S11" s="6"/>
      <c r="T11" s="5"/>
      <c r="U11" s="6"/>
      <c r="V11" s="5"/>
      <c r="W11" s="6"/>
      <c r="X11" s="5"/>
      <c r="Y11" s="3"/>
    </row>
    <row r="12" spans="1:25" x14ac:dyDescent="0.25">
      <c r="A12" s="7">
        <v>44574</v>
      </c>
      <c r="B12" s="5" t="e">
        <f>'JAN 25%'!#REF!+'[1]JAN 25%'!P17</f>
        <v>#REF!</v>
      </c>
      <c r="C12" s="7">
        <v>44601</v>
      </c>
      <c r="D12" s="5">
        <f>'FEV 25% '!P17+'[1]FEV 25% '!P17</f>
        <v>341.29000000000008</v>
      </c>
      <c r="E12" s="8">
        <v>43901</v>
      </c>
      <c r="F12" s="5"/>
      <c r="G12" s="8">
        <v>43935</v>
      </c>
      <c r="H12" s="5"/>
      <c r="I12" s="8">
        <v>43963</v>
      </c>
      <c r="J12" s="5"/>
      <c r="K12" s="8">
        <v>43994</v>
      </c>
      <c r="L12" s="5"/>
      <c r="M12" s="8">
        <v>44025</v>
      </c>
      <c r="N12" s="5"/>
      <c r="O12" s="8"/>
      <c r="P12" s="5"/>
      <c r="Q12" s="8"/>
      <c r="R12" s="5"/>
      <c r="S12" s="8"/>
      <c r="T12" s="5"/>
      <c r="U12" s="8"/>
      <c r="V12" s="5"/>
      <c r="W12" s="8"/>
      <c r="X12" s="5"/>
      <c r="Y12" s="3"/>
    </row>
    <row r="13" spans="1:25" x14ac:dyDescent="0.25">
      <c r="A13" s="7">
        <v>44575</v>
      </c>
      <c r="B13" s="5" t="e">
        <f>'JAN 25%'!#REF!+'[1]JAN 25%'!P18</f>
        <v>#REF!</v>
      </c>
      <c r="C13" s="7">
        <v>44603</v>
      </c>
      <c r="D13" s="5">
        <f>'FEV 25% '!P18+'[1]FEV 25% '!P18</f>
        <v>723.21</v>
      </c>
      <c r="E13" s="8">
        <v>43902</v>
      </c>
      <c r="F13" s="5"/>
      <c r="G13" s="8">
        <v>43945</v>
      </c>
      <c r="H13" s="5"/>
      <c r="I13" s="8">
        <v>43965</v>
      </c>
      <c r="J13" s="5"/>
      <c r="K13" s="8">
        <v>43999</v>
      </c>
      <c r="L13" s="5"/>
      <c r="M13" s="8">
        <v>44028</v>
      </c>
      <c r="N13" s="5"/>
      <c r="O13" s="8"/>
      <c r="P13" s="5"/>
      <c r="Q13" s="8"/>
      <c r="R13" s="5"/>
      <c r="S13" s="8"/>
      <c r="T13" s="5"/>
      <c r="U13" s="8"/>
      <c r="V13" s="5"/>
      <c r="W13" s="8"/>
      <c r="X13" s="5"/>
      <c r="Y13" s="3"/>
    </row>
    <row r="14" spans="1:25" x14ac:dyDescent="0.25">
      <c r="A14" s="7">
        <v>44578</v>
      </c>
      <c r="B14" s="5">
        <f>'JAN 25%'!P16+'[1]JAN 25%'!P19</f>
        <v>473.46000000000004</v>
      </c>
      <c r="C14" s="7">
        <v>44607</v>
      </c>
      <c r="D14" s="5">
        <f>'FEV 25% '!P19+'[1]FEV 25% '!P19</f>
        <v>542.87</v>
      </c>
      <c r="E14" s="8">
        <v>43903</v>
      </c>
      <c r="F14" s="5"/>
      <c r="G14" s="8">
        <v>43948</v>
      </c>
      <c r="H14" s="5"/>
      <c r="I14" s="8">
        <v>43969</v>
      </c>
      <c r="J14" s="5"/>
      <c r="K14" s="8">
        <v>44000</v>
      </c>
      <c r="L14" s="5"/>
      <c r="M14" s="8">
        <v>44033</v>
      </c>
      <c r="N14" s="5"/>
      <c r="O14" s="8"/>
      <c r="P14" s="5"/>
      <c r="Q14" s="8"/>
      <c r="R14" s="5"/>
      <c r="S14" s="8"/>
      <c r="T14" s="5"/>
      <c r="U14" s="8"/>
      <c r="V14" s="5"/>
      <c r="W14" s="8"/>
      <c r="X14" s="5"/>
      <c r="Y14" s="3"/>
    </row>
    <row r="15" spans="1:25" x14ac:dyDescent="0.25">
      <c r="A15" s="7">
        <v>44579</v>
      </c>
      <c r="B15" s="5">
        <f>'JAN 25%'!P17+'[1]JAN 25%'!P20</f>
        <v>841.74</v>
      </c>
      <c r="C15" s="7">
        <v>44608</v>
      </c>
      <c r="D15" s="5">
        <f>'FEV 25% '!P20+'[1]FEV 25% '!P20</f>
        <v>280.05</v>
      </c>
      <c r="E15" s="8">
        <v>43907</v>
      </c>
      <c r="F15" s="5"/>
      <c r="G15" s="8">
        <v>43949</v>
      </c>
      <c r="H15" s="5"/>
      <c r="I15" s="8">
        <v>43970</v>
      </c>
      <c r="J15" s="5"/>
      <c r="K15" s="8">
        <v>44004</v>
      </c>
      <c r="L15" s="5"/>
      <c r="M15" s="8">
        <v>44036</v>
      </c>
      <c r="N15" s="5"/>
      <c r="O15" s="8"/>
      <c r="P15" s="5"/>
      <c r="Q15" s="8"/>
      <c r="R15" s="5"/>
      <c r="S15" s="8"/>
      <c r="T15" s="5"/>
      <c r="U15" s="8"/>
      <c r="V15" s="5"/>
      <c r="W15" s="8"/>
      <c r="X15" s="5"/>
      <c r="Y15" s="3"/>
    </row>
    <row r="16" spans="1:25" x14ac:dyDescent="0.25">
      <c r="A16" s="7">
        <v>44580</v>
      </c>
      <c r="B16" s="5">
        <f>'JAN 25%'!P18+'[1]JAN 25%'!P21</f>
        <v>430.70000000000005</v>
      </c>
      <c r="C16" s="7">
        <v>44609</v>
      </c>
      <c r="D16" s="5">
        <f>'FEV 25% '!P21+'[1]FEV 25% '!P21</f>
        <v>561.84</v>
      </c>
      <c r="E16" s="8">
        <v>43908</v>
      </c>
      <c r="F16" s="5"/>
      <c r="G16" s="8">
        <v>43585</v>
      </c>
      <c r="H16" s="5"/>
      <c r="I16" s="8">
        <v>43977</v>
      </c>
      <c r="J16" s="5"/>
      <c r="K16" s="8"/>
      <c r="L16" s="5"/>
      <c r="M16" s="8">
        <v>44041</v>
      </c>
      <c r="N16" s="5"/>
      <c r="O16" s="8"/>
      <c r="P16" s="5"/>
      <c r="Q16" s="8"/>
      <c r="R16" s="5"/>
      <c r="S16" s="8"/>
      <c r="T16" s="5"/>
      <c r="U16" s="8"/>
      <c r="V16" s="5"/>
      <c r="W16" s="8"/>
      <c r="X16" s="5"/>
      <c r="Y16" s="3"/>
    </row>
    <row r="17" spans="1:25" x14ac:dyDescent="0.25">
      <c r="A17" s="7">
        <v>44581</v>
      </c>
      <c r="B17" s="5">
        <f>'JAN 25%'!P19+'[1]JAN 25%'!P22</f>
        <v>489.69000000000005</v>
      </c>
      <c r="C17" s="7">
        <v>44610</v>
      </c>
      <c r="D17" s="5">
        <f>'FEV 25% '!P22+'[1]FEV 25% '!P22</f>
        <v>394.48</v>
      </c>
      <c r="E17" s="8">
        <v>43921</v>
      </c>
      <c r="F17" s="5"/>
      <c r="G17" s="8"/>
      <c r="H17" s="5"/>
      <c r="I17" s="8">
        <v>43979</v>
      </c>
      <c r="J17" s="5"/>
      <c r="K17" s="8"/>
      <c r="L17" s="5"/>
      <c r="M17" s="8">
        <v>44042</v>
      </c>
      <c r="N17" s="5"/>
      <c r="O17" s="8"/>
      <c r="P17" s="5"/>
      <c r="Q17" s="8"/>
      <c r="R17" s="5"/>
      <c r="S17" s="8"/>
      <c r="T17" s="5"/>
      <c r="U17" s="8"/>
      <c r="V17" s="5"/>
      <c r="W17" s="8"/>
      <c r="X17" s="5"/>
      <c r="Y17" s="3"/>
    </row>
    <row r="18" spans="1:25" x14ac:dyDescent="0.25">
      <c r="A18" s="7">
        <v>44582</v>
      </c>
      <c r="B18" s="5">
        <f>'JAN 25%'!P20+'[1]JAN 25%'!P23</f>
        <v>409.09</v>
      </c>
      <c r="C18" s="7">
        <v>44613</v>
      </c>
      <c r="D18" s="5">
        <f>'FEV 25% '!P23+'[1]FEV 25% '!P23</f>
        <v>424</v>
      </c>
      <c r="E18" s="8"/>
      <c r="F18" s="5"/>
      <c r="G18" s="8"/>
      <c r="H18" s="5"/>
      <c r="I18" s="8">
        <v>43980</v>
      </c>
      <c r="J18" s="5"/>
      <c r="K18" s="8"/>
      <c r="L18" s="5"/>
      <c r="M18" s="8"/>
      <c r="N18" s="5"/>
      <c r="O18" s="8"/>
      <c r="P18" s="5"/>
      <c r="Q18" s="8"/>
      <c r="R18" s="5"/>
      <c r="S18" s="8"/>
      <c r="T18" s="5"/>
      <c r="U18" s="8"/>
      <c r="V18" s="5"/>
      <c r="W18" s="8"/>
      <c r="X18" s="5"/>
      <c r="Y18" s="3"/>
    </row>
    <row r="19" spans="1:25" x14ac:dyDescent="0.25">
      <c r="A19" s="7">
        <v>44586</v>
      </c>
      <c r="B19" s="5">
        <f>'JAN 25%'!P21+'[1]JAN 25%'!P24</f>
        <v>852.8</v>
      </c>
      <c r="C19" s="7">
        <v>44614</v>
      </c>
      <c r="D19" s="5" t="e">
        <f>'FEV 25% '!#REF!+'[1]FEV 25% '!P24</f>
        <v>#REF!</v>
      </c>
      <c r="E19" s="8"/>
      <c r="F19" s="5"/>
      <c r="G19" s="8"/>
      <c r="H19" s="5"/>
      <c r="I19" s="8"/>
      <c r="J19" s="5"/>
      <c r="K19" s="8"/>
      <c r="L19" s="5"/>
      <c r="M19" s="8"/>
      <c r="N19" s="5"/>
      <c r="O19" s="8"/>
      <c r="P19" s="5"/>
      <c r="Q19" s="8"/>
      <c r="R19" s="5"/>
      <c r="S19" s="8"/>
      <c r="T19" s="5"/>
      <c r="U19" s="8"/>
      <c r="V19" s="5"/>
      <c r="W19" s="8"/>
      <c r="X19" s="5"/>
      <c r="Y19" s="3"/>
    </row>
    <row r="20" spans="1:25" x14ac:dyDescent="0.25">
      <c r="A20" s="7">
        <v>44587</v>
      </c>
      <c r="B20" s="5">
        <f>'JAN 25%'!P22+'[1]JAN 25%'!P25</f>
        <v>283.44</v>
      </c>
      <c r="C20" s="7">
        <v>44615</v>
      </c>
      <c r="D20" s="5" t="e">
        <f>'FEV 25% '!#REF!+'[1]FEV 25% '!P25</f>
        <v>#REF!</v>
      </c>
      <c r="E20" s="8"/>
      <c r="F20" s="5"/>
      <c r="G20" s="8"/>
      <c r="H20" s="5"/>
      <c r="I20" s="8"/>
      <c r="J20" s="5"/>
      <c r="K20" s="8"/>
      <c r="L20" s="5"/>
      <c r="M20" s="8"/>
      <c r="N20" s="5"/>
      <c r="O20" s="8"/>
      <c r="P20" s="5"/>
      <c r="Q20" s="8"/>
      <c r="R20" s="5"/>
      <c r="S20" s="8"/>
      <c r="T20" s="5"/>
      <c r="U20" s="8"/>
      <c r="V20" s="5"/>
      <c r="W20" s="8"/>
      <c r="X20" s="5"/>
      <c r="Y20" s="3"/>
    </row>
    <row r="21" spans="1:25" x14ac:dyDescent="0.25">
      <c r="A21" s="7">
        <v>44588</v>
      </c>
      <c r="B21" s="5">
        <f>'JAN 25%'!P23+'[1]JAN 25%'!P26</f>
        <v>403.76</v>
      </c>
      <c r="C21" s="7">
        <v>44617</v>
      </c>
      <c r="D21" s="5" t="e">
        <f>'FEV 25% '!#REF!+'[1]FEV 25% '!P26</f>
        <v>#REF!</v>
      </c>
      <c r="E21" s="8"/>
      <c r="F21" s="5"/>
      <c r="G21" s="8"/>
      <c r="H21" s="5"/>
      <c r="I21" s="8"/>
      <c r="J21" s="5"/>
      <c r="K21" s="8"/>
      <c r="L21" s="5"/>
      <c r="M21" s="8"/>
      <c r="N21" s="5"/>
      <c r="O21" s="8"/>
      <c r="P21" s="5"/>
      <c r="Q21" s="8"/>
      <c r="R21" s="5"/>
      <c r="S21" s="8"/>
      <c r="T21" s="5"/>
      <c r="U21" s="8"/>
      <c r="V21" s="5"/>
      <c r="W21" s="8"/>
      <c r="X21" s="5"/>
      <c r="Y21" s="3"/>
    </row>
    <row r="22" spans="1:25" x14ac:dyDescent="0.25">
      <c r="A22" s="7">
        <v>44589</v>
      </c>
      <c r="B22" s="5" t="e">
        <f>'JAN 25%'!#REF!+'[1]JAN 25%'!P27</f>
        <v>#REF!</v>
      </c>
      <c r="C22" s="8"/>
      <c r="D22" s="5"/>
      <c r="E22" s="8"/>
      <c r="F22" s="5"/>
      <c r="G22" s="8"/>
      <c r="H22" s="5"/>
      <c r="I22" s="8"/>
      <c r="J22" s="5"/>
      <c r="K22" s="8"/>
      <c r="L22" s="5"/>
      <c r="M22" s="8"/>
      <c r="N22" s="5"/>
      <c r="O22" s="8"/>
      <c r="P22" s="5"/>
      <c r="Q22" s="8"/>
      <c r="R22" s="5"/>
      <c r="S22" s="8"/>
      <c r="T22" s="5"/>
      <c r="U22" s="8"/>
      <c r="V22" s="5"/>
      <c r="W22" s="8"/>
      <c r="X22" s="5"/>
      <c r="Y22" s="3"/>
    </row>
    <row r="23" spans="1:25" x14ac:dyDescent="0.25">
      <c r="A23" s="7">
        <v>44592</v>
      </c>
      <c r="B23" s="5" t="e">
        <f>'JAN 25%'!#REF!+'[1]JAN 25%'!P28</f>
        <v>#REF!</v>
      </c>
      <c r="C23" s="8"/>
      <c r="D23" s="5"/>
      <c r="E23" s="8"/>
      <c r="F23" s="5"/>
      <c r="G23" s="8"/>
      <c r="H23" s="5"/>
      <c r="I23" s="8"/>
      <c r="J23" s="5"/>
      <c r="K23" s="8"/>
      <c r="L23" s="5"/>
      <c r="M23" s="8"/>
      <c r="N23" s="5"/>
      <c r="O23" s="8"/>
      <c r="P23" s="5"/>
      <c r="Q23" s="8"/>
      <c r="R23" s="5"/>
      <c r="S23" s="8"/>
      <c r="T23" s="5"/>
      <c r="U23" s="8"/>
      <c r="V23" s="5"/>
      <c r="W23" s="8"/>
      <c r="X23" s="5"/>
      <c r="Y23" s="3"/>
    </row>
    <row r="24" spans="1:25" x14ac:dyDescent="0.25">
      <c r="A24" s="8"/>
      <c r="B24" s="5"/>
      <c r="C24" s="8"/>
      <c r="D24" s="5"/>
      <c r="E24" s="8"/>
      <c r="F24" s="5"/>
      <c r="G24" s="8"/>
      <c r="H24" s="5"/>
      <c r="I24" s="8"/>
      <c r="J24" s="5"/>
      <c r="K24" s="8"/>
      <c r="L24" s="5"/>
      <c r="M24" s="8"/>
      <c r="N24" s="5"/>
      <c r="O24" s="8"/>
      <c r="P24" s="5"/>
      <c r="Q24" s="8"/>
      <c r="R24" s="5"/>
      <c r="S24" s="8"/>
      <c r="T24" s="5"/>
      <c r="U24" s="8"/>
      <c r="V24" s="5"/>
      <c r="W24" s="8"/>
      <c r="X24" s="5"/>
      <c r="Y24" s="3"/>
    </row>
    <row r="25" spans="1:25" x14ac:dyDescent="0.25">
      <c r="A25" s="9" t="s">
        <v>2</v>
      </c>
      <c r="B25" s="10" t="e">
        <f>SUM(B7:B24)</f>
        <v>#REF!</v>
      </c>
      <c r="C25" s="9" t="s">
        <v>2</v>
      </c>
      <c r="D25" s="10" t="e">
        <f>SUM(D7:D24)</f>
        <v>#REF!</v>
      </c>
      <c r="E25" s="9" t="s">
        <v>2</v>
      </c>
      <c r="F25" s="10">
        <f>SUM(F7:F24)</f>
        <v>0</v>
      </c>
      <c r="G25" s="9" t="s">
        <v>2</v>
      </c>
      <c r="H25" s="10">
        <f>SUM(H7:H24)</f>
        <v>0</v>
      </c>
      <c r="I25" s="9" t="s">
        <v>2</v>
      </c>
      <c r="J25" s="10">
        <f>SUM(J7:J24)</f>
        <v>0</v>
      </c>
      <c r="K25" s="9" t="s">
        <v>2</v>
      </c>
      <c r="L25" s="10">
        <f>SUM(L7:L24)</f>
        <v>0</v>
      </c>
      <c r="M25" s="9" t="s">
        <v>2</v>
      </c>
      <c r="N25" s="10">
        <f>SUM(N7:N24)</f>
        <v>0</v>
      </c>
      <c r="O25" s="9" t="s">
        <v>2</v>
      </c>
      <c r="P25" s="10">
        <f>SUM(P7:P24)</f>
        <v>0</v>
      </c>
      <c r="Q25" s="9" t="s">
        <v>2</v>
      </c>
      <c r="R25" s="10">
        <f>SUM(R7:R24)</f>
        <v>0</v>
      </c>
      <c r="S25" s="9" t="s">
        <v>2</v>
      </c>
      <c r="T25" s="10">
        <f>SUM(T7:T24)</f>
        <v>0</v>
      </c>
      <c r="U25" s="9" t="s">
        <v>2</v>
      </c>
      <c r="V25" s="10">
        <f>SUM(V7:V24)</f>
        <v>0</v>
      </c>
      <c r="W25" s="9" t="s">
        <v>2</v>
      </c>
      <c r="X25" s="11">
        <f>SUM(X7:X24)</f>
        <v>0</v>
      </c>
      <c r="Y25" s="12" t="e">
        <f>B25+D25+F25+H25+J25+L25+N25+P25+R25</f>
        <v>#REF!</v>
      </c>
    </row>
    <row r="27" spans="1:25" x14ac:dyDescent="0.25">
      <c r="A27" s="1" t="s">
        <v>3</v>
      </c>
      <c r="B27" s="13" t="e">
        <f>B25</f>
        <v>#REF!</v>
      </c>
    </row>
    <row r="28" spans="1:25" x14ac:dyDescent="0.25">
      <c r="A28" s="1" t="s">
        <v>4</v>
      </c>
      <c r="B28" s="13" t="e">
        <f>D25</f>
        <v>#REF!</v>
      </c>
    </row>
    <row r="29" spans="1:25" x14ac:dyDescent="0.25">
      <c r="A29" s="1" t="s">
        <v>5</v>
      </c>
      <c r="B29" s="13">
        <f>F25</f>
        <v>0</v>
      </c>
    </row>
    <row r="30" spans="1:25" x14ac:dyDescent="0.25">
      <c r="A30" s="1" t="s">
        <v>6</v>
      </c>
      <c r="B30" s="13">
        <f>H25</f>
        <v>0</v>
      </c>
    </row>
    <row r="31" spans="1:25" x14ac:dyDescent="0.25">
      <c r="A31" s="1" t="s">
        <v>7</v>
      </c>
      <c r="B31" s="13">
        <f>J25</f>
        <v>0</v>
      </c>
    </row>
    <row r="32" spans="1:25" x14ac:dyDescent="0.25">
      <c r="A32" s="1" t="s">
        <v>8</v>
      </c>
      <c r="B32" s="13">
        <f>L25</f>
        <v>0</v>
      </c>
    </row>
    <row r="33" spans="1:12" x14ac:dyDescent="0.25">
      <c r="A33" s="1" t="s">
        <v>9</v>
      </c>
      <c r="B33" s="13">
        <f>N25</f>
        <v>0</v>
      </c>
    </row>
    <row r="34" spans="1:12" x14ac:dyDescent="0.25">
      <c r="A34" s="1" t="s">
        <v>10</v>
      </c>
      <c r="B34" s="13">
        <f>P25</f>
        <v>0</v>
      </c>
    </row>
    <row r="35" spans="1:12" x14ac:dyDescent="0.25">
      <c r="A35" s="1" t="s">
        <v>11</v>
      </c>
      <c r="B35" s="13">
        <f>R25</f>
        <v>0</v>
      </c>
    </row>
    <row r="36" spans="1:12" x14ac:dyDescent="0.25">
      <c r="A36" s="1" t="s">
        <v>12</v>
      </c>
      <c r="B36" s="13">
        <f>T25</f>
        <v>0</v>
      </c>
    </row>
    <row r="37" spans="1:12" x14ac:dyDescent="0.25">
      <c r="A37" s="1" t="s">
        <v>13</v>
      </c>
      <c r="B37" s="13">
        <f>V25</f>
        <v>0</v>
      </c>
    </row>
    <row r="38" spans="1:12" x14ac:dyDescent="0.25">
      <c r="A38" s="1" t="s">
        <v>14</v>
      </c>
      <c r="B38" s="13">
        <f>X25</f>
        <v>0</v>
      </c>
    </row>
    <row r="42" spans="1:12" x14ac:dyDescent="0.25">
      <c r="L42" s="1">
        <v>0</v>
      </c>
    </row>
  </sheetData>
  <mergeCells count="48">
    <mergeCell ref="U4:U6"/>
    <mergeCell ref="V4:V6"/>
    <mergeCell ref="W4:W6"/>
    <mergeCell ref="X4:X6"/>
    <mergeCell ref="P4:P6"/>
    <mergeCell ref="Q4:Q6"/>
    <mergeCell ref="R4:R6"/>
    <mergeCell ref="S4:S6"/>
    <mergeCell ref="T4:T6"/>
    <mergeCell ref="K4:K6"/>
    <mergeCell ref="L4:L6"/>
    <mergeCell ref="M4:M6"/>
    <mergeCell ref="N4:N6"/>
    <mergeCell ref="O4:O6"/>
    <mergeCell ref="F4:F6"/>
    <mergeCell ref="G4:G6"/>
    <mergeCell ref="H4:H6"/>
    <mergeCell ref="I4:I6"/>
    <mergeCell ref="J4:J6"/>
    <mergeCell ref="A4:A6"/>
    <mergeCell ref="B4:B6"/>
    <mergeCell ref="C4:C6"/>
    <mergeCell ref="D4:D6"/>
    <mergeCell ref="E4:E6"/>
    <mergeCell ref="U2:V2"/>
    <mergeCell ref="W2:X2"/>
    <mergeCell ref="A3:B3"/>
    <mergeCell ref="C3:D3"/>
    <mergeCell ref="E3:F3"/>
    <mergeCell ref="G3:H3"/>
    <mergeCell ref="I3:J3"/>
    <mergeCell ref="K3:L3"/>
    <mergeCell ref="M3:N3"/>
    <mergeCell ref="O3:P3"/>
    <mergeCell ref="Q3:R3"/>
    <mergeCell ref="S3:T3"/>
    <mergeCell ref="U3:V3"/>
    <mergeCell ref="W3:X3"/>
    <mergeCell ref="K2:L2"/>
    <mergeCell ref="M2:N2"/>
    <mergeCell ref="O2:P2"/>
    <mergeCell ref="Q2:R2"/>
    <mergeCell ref="S2:T2"/>
    <mergeCell ref="A2:B2"/>
    <mergeCell ref="C2:D2"/>
    <mergeCell ref="E2:F2"/>
    <mergeCell ref="G2:H2"/>
    <mergeCell ref="I2:J2"/>
  </mergeCells>
  <pageMargins left="0" right="0" top="0.196527777777778" bottom="0" header="0.511811023622047" footer="0.511811023622047"/>
  <pageSetup paperSize="9" scale="60" orientation="landscape" horizontalDpi="300" verticalDpi="300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27"/>
  <sheetViews>
    <sheetView topLeftCell="A4" zoomScaleNormal="100" workbookViewId="0">
      <pane xSplit="1" ySplit="8" topLeftCell="B12" activePane="bottomRight" state="frozen"/>
      <selection activeCell="A4" sqref="A4"/>
      <selection pane="topRight" activeCell="B4" sqref="B4"/>
      <selection pane="bottomLeft" activeCell="A19" sqref="A19"/>
      <selection pane="bottomRight" activeCell="A5" sqref="A5:XFD5"/>
    </sheetView>
  </sheetViews>
  <sheetFormatPr defaultColWidth="9.140625" defaultRowHeight="11.25" x14ac:dyDescent="0.2"/>
  <cols>
    <col min="1" max="1" width="7.42578125" style="2" customWidth="1"/>
    <col min="2" max="2" width="7.85546875" style="2" customWidth="1"/>
    <col min="3" max="3" width="8.42578125" style="2" customWidth="1"/>
    <col min="4" max="4" width="9" style="2" customWidth="1"/>
    <col min="5" max="5" width="8.85546875" style="2" customWidth="1"/>
    <col min="6" max="6" width="8.5703125" style="2" customWidth="1"/>
    <col min="7" max="7" width="6.42578125" style="2" customWidth="1"/>
    <col min="8" max="9" width="8" style="2" customWidth="1"/>
    <col min="10" max="10" width="8.7109375" style="2" customWidth="1"/>
    <col min="11" max="11" width="7.5703125" style="2" customWidth="1"/>
    <col min="12" max="12" width="9.5703125" style="2" customWidth="1"/>
    <col min="13" max="13" width="7.85546875" style="2" customWidth="1"/>
    <col min="14" max="14" width="7.7109375" style="2" customWidth="1"/>
    <col min="15" max="15" width="9.140625" style="2"/>
    <col min="16" max="16" width="8.7109375" style="2" customWidth="1"/>
    <col min="17" max="16384" width="9.140625" style="2"/>
  </cols>
  <sheetData>
    <row r="2" spans="1:16" x14ac:dyDescent="0.2">
      <c r="A2" s="2" t="s">
        <v>15</v>
      </c>
    </row>
    <row r="5" spans="1:16" ht="12.75" x14ac:dyDescent="0.2">
      <c r="A5" s="44" t="s">
        <v>42</v>
      </c>
    </row>
    <row r="7" spans="1:16" ht="12" x14ac:dyDescent="0.2">
      <c r="A7" s="52">
        <v>45170</v>
      </c>
      <c r="B7" s="52"/>
      <c r="D7" s="14"/>
      <c r="E7" s="14"/>
      <c r="F7" s="14"/>
      <c r="G7" s="14"/>
      <c r="H7" s="14"/>
    </row>
    <row r="9" spans="1:16" ht="15" customHeight="1" x14ac:dyDescent="0.2">
      <c r="A9" s="53"/>
      <c r="B9" s="54" t="s">
        <v>16</v>
      </c>
      <c r="C9" s="54" t="s">
        <v>17</v>
      </c>
      <c r="D9" s="54" t="s">
        <v>18</v>
      </c>
      <c r="E9" s="54" t="s">
        <v>19</v>
      </c>
      <c r="F9" s="54" t="s">
        <v>20</v>
      </c>
      <c r="G9" s="54" t="s">
        <v>21</v>
      </c>
      <c r="H9" s="54" t="s">
        <v>22</v>
      </c>
      <c r="I9" s="54" t="s">
        <v>23</v>
      </c>
      <c r="J9" s="54" t="s">
        <v>24</v>
      </c>
      <c r="K9" s="54" t="s">
        <v>25</v>
      </c>
      <c r="L9" s="54" t="s">
        <v>26</v>
      </c>
      <c r="M9" s="55" t="s">
        <v>27</v>
      </c>
      <c r="N9" s="55" t="s">
        <v>28</v>
      </c>
      <c r="O9" s="55" t="s">
        <v>29</v>
      </c>
      <c r="P9" s="56" t="s">
        <v>1</v>
      </c>
    </row>
    <row r="10" spans="1:16" ht="11.25" customHeight="1" x14ac:dyDescent="0.2">
      <c r="A10" s="53"/>
      <c r="B10" s="54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5"/>
      <c r="N10" s="55"/>
      <c r="O10" s="55"/>
      <c r="P10" s="56"/>
    </row>
    <row r="11" spans="1:16" ht="11.25" customHeight="1" x14ac:dyDescent="0.2">
      <c r="A11" s="53"/>
      <c r="B11" s="54"/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5"/>
      <c r="N11" s="55"/>
      <c r="O11" s="55"/>
      <c r="P11" s="56"/>
    </row>
    <row r="12" spans="1:16" ht="23.25" customHeight="1" x14ac:dyDescent="0.2">
      <c r="A12" s="15">
        <v>44440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7"/>
      <c r="N12" s="17"/>
      <c r="O12" s="17"/>
      <c r="P12" s="5">
        <f t="shared" ref="P12:P23" si="0">SUM(B12:L12)</f>
        <v>0</v>
      </c>
    </row>
    <row r="13" spans="1:16" ht="24" customHeight="1" x14ac:dyDescent="0.2">
      <c r="A13" s="15">
        <v>44806</v>
      </c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7"/>
      <c r="N13" s="17"/>
      <c r="O13" s="17"/>
      <c r="P13" s="5">
        <f t="shared" si="0"/>
        <v>0</v>
      </c>
    </row>
    <row r="14" spans="1:16" ht="24" customHeight="1" x14ac:dyDescent="0.2">
      <c r="A14" s="15">
        <v>44809</v>
      </c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7"/>
      <c r="N14" s="17"/>
      <c r="O14" s="17"/>
      <c r="P14" s="5">
        <f t="shared" si="0"/>
        <v>0</v>
      </c>
    </row>
    <row r="15" spans="1:16" ht="24" customHeight="1" x14ac:dyDescent="0.2">
      <c r="A15" s="15">
        <v>44445</v>
      </c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7"/>
      <c r="N15" s="17"/>
      <c r="O15" s="17"/>
      <c r="P15" s="5">
        <f t="shared" si="0"/>
        <v>0</v>
      </c>
    </row>
    <row r="16" spans="1:16" ht="24" customHeight="1" x14ac:dyDescent="0.2">
      <c r="A16" s="15">
        <v>44447</v>
      </c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7"/>
      <c r="N16" s="17"/>
      <c r="O16" s="17"/>
      <c r="P16" s="5">
        <f t="shared" si="0"/>
        <v>0</v>
      </c>
    </row>
    <row r="17" spans="1:16" ht="24" customHeight="1" x14ac:dyDescent="0.2">
      <c r="A17" s="15">
        <v>44817</v>
      </c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7"/>
      <c r="N17" s="17"/>
      <c r="O17" s="17"/>
      <c r="P17" s="5">
        <f t="shared" si="0"/>
        <v>0</v>
      </c>
    </row>
    <row r="18" spans="1:16" ht="24" customHeight="1" x14ac:dyDescent="0.2">
      <c r="A18" s="15">
        <v>44819</v>
      </c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7"/>
      <c r="N18" s="17"/>
      <c r="O18" s="17"/>
      <c r="P18" s="5">
        <f t="shared" si="0"/>
        <v>0</v>
      </c>
    </row>
    <row r="19" spans="1:16" ht="24" customHeight="1" x14ac:dyDescent="0.2">
      <c r="A19" s="15">
        <v>44820</v>
      </c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7"/>
      <c r="N19" s="17"/>
      <c r="O19" s="17"/>
      <c r="P19" s="5">
        <f t="shared" si="0"/>
        <v>0</v>
      </c>
    </row>
    <row r="20" spans="1:16" ht="24" customHeight="1" x14ac:dyDescent="0.2">
      <c r="A20" s="15">
        <v>44824</v>
      </c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7"/>
      <c r="N20" s="17"/>
      <c r="O20" s="17"/>
      <c r="P20" s="5">
        <f t="shared" si="0"/>
        <v>0</v>
      </c>
    </row>
    <row r="21" spans="1:16" ht="24" customHeight="1" x14ac:dyDescent="0.2">
      <c r="A21" s="15">
        <v>44825</v>
      </c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7"/>
      <c r="N21" s="17"/>
      <c r="O21" s="17"/>
      <c r="P21" s="5">
        <f t="shared" si="0"/>
        <v>0</v>
      </c>
    </row>
    <row r="22" spans="1:16" ht="24" customHeight="1" x14ac:dyDescent="0.2">
      <c r="A22" s="15">
        <v>44831</v>
      </c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7"/>
      <c r="N22" s="17"/>
      <c r="O22" s="17"/>
      <c r="P22" s="5">
        <f t="shared" si="0"/>
        <v>0</v>
      </c>
    </row>
    <row r="23" spans="1:16" ht="24" customHeight="1" x14ac:dyDescent="0.2">
      <c r="A23" s="15">
        <v>44834</v>
      </c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7"/>
      <c r="N23" s="17"/>
      <c r="O23" s="17"/>
      <c r="P23" s="5">
        <f t="shared" si="0"/>
        <v>0</v>
      </c>
    </row>
    <row r="24" spans="1:16" ht="24" customHeight="1" x14ac:dyDescent="0.2">
      <c r="A24" s="30" t="s">
        <v>2</v>
      </c>
      <c r="B24" s="39">
        <f t="shared" ref="B24:P24" si="1">SUM(B12:B23)</f>
        <v>0</v>
      </c>
      <c r="C24" s="42">
        <f t="shared" si="1"/>
        <v>0</v>
      </c>
      <c r="D24" s="42">
        <f t="shared" si="1"/>
        <v>0</v>
      </c>
      <c r="E24" s="42">
        <f t="shared" si="1"/>
        <v>0</v>
      </c>
      <c r="F24" s="42">
        <f t="shared" si="1"/>
        <v>0</v>
      </c>
      <c r="G24" s="42">
        <f t="shared" si="1"/>
        <v>0</v>
      </c>
      <c r="H24" s="42">
        <f t="shared" si="1"/>
        <v>0</v>
      </c>
      <c r="I24" s="42">
        <f t="shared" si="1"/>
        <v>0</v>
      </c>
      <c r="J24" s="42">
        <f t="shared" si="1"/>
        <v>0</v>
      </c>
      <c r="K24" s="42">
        <f t="shared" si="1"/>
        <v>0</v>
      </c>
      <c r="L24" s="42">
        <f t="shared" si="1"/>
        <v>0</v>
      </c>
      <c r="M24" s="22">
        <f t="shared" si="1"/>
        <v>0</v>
      </c>
      <c r="N24" s="22">
        <f t="shared" si="1"/>
        <v>0</v>
      </c>
      <c r="O24" s="23">
        <f t="shared" si="1"/>
        <v>0</v>
      </c>
      <c r="P24" s="36">
        <f t="shared" si="1"/>
        <v>0</v>
      </c>
    </row>
    <row r="25" spans="1:16" ht="12" customHeight="1" x14ac:dyDescent="0.2">
      <c r="A25" s="59"/>
      <c r="B25" s="59"/>
      <c r="C25" s="59"/>
      <c r="D25" s="59"/>
      <c r="E25" s="59"/>
      <c r="F25" s="59"/>
      <c r="G25" s="59"/>
      <c r="H25" s="59"/>
      <c r="I25" s="59"/>
      <c r="J25" s="59"/>
      <c r="K25" s="59"/>
      <c r="L25" s="57" t="s">
        <v>38</v>
      </c>
      <c r="M25" s="57"/>
      <c r="N25" s="57"/>
      <c r="O25" s="57"/>
      <c r="P25" s="57"/>
    </row>
    <row r="26" spans="1:16" ht="24" customHeight="1" x14ac:dyDescent="0.2">
      <c r="A26" s="25"/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7"/>
    </row>
    <row r="27" spans="1:16" ht="24" customHeight="1" x14ac:dyDescent="0.2">
      <c r="A27" s="25"/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7"/>
    </row>
  </sheetData>
  <mergeCells count="19">
    <mergeCell ref="O9:O11"/>
    <mergeCell ref="P9:P11"/>
    <mergeCell ref="A25:K25"/>
    <mergeCell ref="L25:P25"/>
    <mergeCell ref="J9:J11"/>
    <mergeCell ref="K9:K11"/>
    <mergeCell ref="L9:L11"/>
    <mergeCell ref="M9:M11"/>
    <mergeCell ref="N9:N11"/>
    <mergeCell ref="E9:E11"/>
    <mergeCell ref="F9:F11"/>
    <mergeCell ref="G9:G11"/>
    <mergeCell ref="H9:H11"/>
    <mergeCell ref="I9:I11"/>
    <mergeCell ref="A7:B7"/>
    <mergeCell ref="A9:A11"/>
    <mergeCell ref="B9:B11"/>
    <mergeCell ref="C9:C11"/>
    <mergeCell ref="D9:D11"/>
  </mergeCells>
  <pageMargins left="0.31527777777777799" right="0.31527777777777799" top="0.196527777777778" bottom="0.196527777777778" header="0.511811023622047" footer="0.511811023622047"/>
  <pageSetup paperSize="9" orientation="landscape" horizontalDpi="300" verticalDpi="30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P28"/>
  <sheetViews>
    <sheetView topLeftCell="A4" zoomScaleNormal="100" workbookViewId="0">
      <pane xSplit="1" ySplit="8" topLeftCell="B12" activePane="bottomRight" state="frozen"/>
      <selection activeCell="A4" sqref="A4"/>
      <selection pane="topRight" activeCell="B4" sqref="B4"/>
      <selection pane="bottomLeft" activeCell="A13" sqref="A13"/>
      <selection pane="bottomRight" activeCell="A5" sqref="A5:XFD5"/>
    </sheetView>
  </sheetViews>
  <sheetFormatPr defaultColWidth="9.140625" defaultRowHeight="11.25" x14ac:dyDescent="0.2"/>
  <cols>
    <col min="1" max="1" width="7.42578125" style="2" customWidth="1"/>
    <col min="2" max="2" width="7.85546875" style="2" customWidth="1"/>
    <col min="3" max="3" width="8.42578125" style="2" customWidth="1"/>
    <col min="4" max="4" width="9" style="2" customWidth="1"/>
    <col min="5" max="5" width="8.85546875" style="2" customWidth="1"/>
    <col min="6" max="6" width="8.5703125" style="2" customWidth="1"/>
    <col min="7" max="7" width="6.42578125" style="2" customWidth="1"/>
    <col min="8" max="9" width="8" style="2" customWidth="1"/>
    <col min="10" max="10" width="8.7109375" style="2" customWidth="1"/>
    <col min="11" max="11" width="7.5703125" style="2" customWidth="1"/>
    <col min="12" max="12" width="8" style="2" customWidth="1"/>
    <col min="13" max="13" width="7.85546875" style="2" customWidth="1"/>
    <col min="14" max="14" width="7.7109375" style="2" customWidth="1"/>
    <col min="15" max="15" width="9.140625" style="2"/>
    <col min="16" max="16" width="8.7109375" style="2" customWidth="1"/>
    <col min="17" max="16384" width="9.140625" style="2"/>
  </cols>
  <sheetData>
    <row r="2" spans="1:16" x14ac:dyDescent="0.2">
      <c r="A2" s="2" t="s">
        <v>15</v>
      </c>
    </row>
    <row r="5" spans="1:16" ht="12.75" x14ac:dyDescent="0.2">
      <c r="A5" s="44" t="s">
        <v>42</v>
      </c>
    </row>
    <row r="7" spans="1:16" ht="12" x14ac:dyDescent="0.2">
      <c r="A7" s="52">
        <v>45200</v>
      </c>
      <c r="B7" s="52"/>
      <c r="D7" s="14"/>
      <c r="E7" s="14"/>
      <c r="F7" s="14"/>
      <c r="G7" s="14"/>
      <c r="H7" s="14"/>
    </row>
    <row r="9" spans="1:16" ht="15" customHeight="1" x14ac:dyDescent="0.2">
      <c r="A9" s="53"/>
      <c r="B9" s="54" t="s">
        <v>16</v>
      </c>
      <c r="C9" s="54" t="s">
        <v>17</v>
      </c>
      <c r="D9" s="54" t="s">
        <v>18</v>
      </c>
      <c r="E9" s="54" t="s">
        <v>19</v>
      </c>
      <c r="F9" s="54" t="s">
        <v>20</v>
      </c>
      <c r="G9" s="54" t="s">
        <v>21</v>
      </c>
      <c r="H9" s="54" t="s">
        <v>22</v>
      </c>
      <c r="I9" s="54" t="s">
        <v>23</v>
      </c>
      <c r="J9" s="54" t="s">
        <v>24</v>
      </c>
      <c r="K9" s="54" t="s">
        <v>25</v>
      </c>
      <c r="L9" s="54" t="s">
        <v>26</v>
      </c>
      <c r="M9" s="55" t="s">
        <v>27</v>
      </c>
      <c r="N9" s="55" t="s">
        <v>28</v>
      </c>
      <c r="O9" s="55" t="s">
        <v>29</v>
      </c>
      <c r="P9" s="56" t="s">
        <v>1</v>
      </c>
    </row>
    <row r="10" spans="1:16" ht="11.25" customHeight="1" x14ac:dyDescent="0.2">
      <c r="A10" s="53"/>
      <c r="B10" s="54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5"/>
      <c r="N10" s="55"/>
      <c r="O10" s="55"/>
      <c r="P10" s="56"/>
    </row>
    <row r="11" spans="1:16" ht="11.25" customHeight="1" x14ac:dyDescent="0.2">
      <c r="A11" s="53"/>
      <c r="B11" s="54"/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5"/>
      <c r="N11" s="55"/>
      <c r="O11" s="55"/>
      <c r="P11" s="56"/>
    </row>
    <row r="12" spans="1:16" ht="24" customHeight="1" x14ac:dyDescent="0.2">
      <c r="A12" s="15">
        <v>44837</v>
      </c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7"/>
      <c r="N12" s="17"/>
      <c r="O12" s="17"/>
      <c r="P12" s="5">
        <f t="shared" ref="P12:P24" si="0">SUM(B12:L12)</f>
        <v>0</v>
      </c>
    </row>
    <row r="13" spans="1:16" ht="24" customHeight="1" x14ac:dyDescent="0.2">
      <c r="A13" s="15">
        <v>44838</v>
      </c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7"/>
      <c r="N13" s="17"/>
      <c r="O13" s="17"/>
      <c r="P13" s="5">
        <f t="shared" si="0"/>
        <v>0</v>
      </c>
    </row>
    <row r="14" spans="1:16" ht="24" customHeight="1" x14ac:dyDescent="0.2">
      <c r="A14" s="15">
        <v>44839</v>
      </c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7"/>
      <c r="N14" s="17"/>
      <c r="O14" s="17"/>
      <c r="P14" s="5">
        <f t="shared" si="0"/>
        <v>0</v>
      </c>
    </row>
    <row r="15" spans="1:16" ht="24" customHeight="1" x14ac:dyDescent="0.2">
      <c r="A15" s="15">
        <v>44841</v>
      </c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7"/>
      <c r="N15" s="17"/>
      <c r="O15" s="17"/>
      <c r="P15" s="5">
        <f t="shared" si="0"/>
        <v>0</v>
      </c>
    </row>
    <row r="16" spans="1:16" ht="24" customHeight="1" x14ac:dyDescent="0.2">
      <c r="A16" s="15">
        <v>44844</v>
      </c>
      <c r="B16" s="18"/>
      <c r="C16" s="18"/>
      <c r="D16" s="26"/>
      <c r="E16" s="18"/>
      <c r="F16" s="18"/>
      <c r="G16" s="18"/>
      <c r="H16" s="18"/>
      <c r="I16" s="18"/>
      <c r="J16" s="18"/>
      <c r="K16" s="18"/>
      <c r="L16" s="18"/>
      <c r="M16" s="17"/>
      <c r="N16" s="17"/>
      <c r="O16" s="17"/>
      <c r="P16" s="5">
        <f t="shared" si="0"/>
        <v>0</v>
      </c>
    </row>
    <row r="17" spans="1:16" ht="24" customHeight="1" x14ac:dyDescent="0.2">
      <c r="A17" s="15">
        <v>44851</v>
      </c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7"/>
      <c r="N17" s="17"/>
      <c r="O17" s="17"/>
      <c r="P17" s="5">
        <f t="shared" si="0"/>
        <v>0</v>
      </c>
    </row>
    <row r="18" spans="1:16" ht="24" customHeight="1" x14ac:dyDescent="0.2">
      <c r="A18" s="15">
        <v>44852</v>
      </c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7"/>
      <c r="N18" s="17"/>
      <c r="O18" s="17"/>
      <c r="P18" s="5">
        <f t="shared" si="0"/>
        <v>0</v>
      </c>
    </row>
    <row r="19" spans="1:16" ht="24" customHeight="1" x14ac:dyDescent="0.2">
      <c r="A19" s="15">
        <v>44854</v>
      </c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7"/>
      <c r="N19" s="17"/>
      <c r="O19" s="17"/>
      <c r="P19" s="5">
        <f t="shared" si="0"/>
        <v>0</v>
      </c>
    </row>
    <row r="20" spans="1:16" ht="24" customHeight="1" x14ac:dyDescent="0.2">
      <c r="A20" s="15">
        <v>44855</v>
      </c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7"/>
      <c r="N20" s="17"/>
      <c r="O20" s="17"/>
      <c r="P20" s="5">
        <f t="shared" si="0"/>
        <v>0</v>
      </c>
    </row>
    <row r="21" spans="1:16" ht="24" customHeight="1" x14ac:dyDescent="0.2">
      <c r="A21" s="15">
        <v>44859</v>
      </c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7"/>
      <c r="N21" s="17"/>
      <c r="O21" s="17"/>
      <c r="P21" s="5">
        <f t="shared" si="0"/>
        <v>0</v>
      </c>
    </row>
    <row r="22" spans="1:16" ht="24" customHeight="1" x14ac:dyDescent="0.2">
      <c r="A22" s="15">
        <v>44860</v>
      </c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7"/>
      <c r="N22" s="17"/>
      <c r="O22" s="17"/>
      <c r="P22" s="5">
        <f t="shared" si="0"/>
        <v>0</v>
      </c>
    </row>
    <row r="23" spans="1:16" ht="24" customHeight="1" x14ac:dyDescent="0.2">
      <c r="A23" s="15">
        <v>44861</v>
      </c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7"/>
      <c r="N23" s="17"/>
      <c r="O23" s="17"/>
      <c r="P23" s="5">
        <f t="shared" si="0"/>
        <v>0</v>
      </c>
    </row>
    <row r="24" spans="1:16" ht="24" customHeight="1" x14ac:dyDescent="0.2">
      <c r="A24" s="15">
        <v>44862</v>
      </c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7"/>
      <c r="N24" s="17"/>
      <c r="O24" s="17"/>
      <c r="P24" s="5">
        <f t="shared" si="0"/>
        <v>0</v>
      </c>
    </row>
    <row r="25" spans="1:16" ht="24" customHeight="1" x14ac:dyDescent="0.2">
      <c r="A25" s="30" t="s">
        <v>2</v>
      </c>
      <c r="B25" s="41">
        <f t="shared" ref="B25:P25" si="1">SUM(B12:B24)</f>
        <v>0</v>
      </c>
      <c r="C25" s="22">
        <f t="shared" si="1"/>
        <v>0</v>
      </c>
      <c r="D25" s="22">
        <f t="shared" si="1"/>
        <v>0</v>
      </c>
      <c r="E25" s="22">
        <f t="shared" si="1"/>
        <v>0</v>
      </c>
      <c r="F25" s="22">
        <f t="shared" si="1"/>
        <v>0</v>
      </c>
      <c r="G25" s="22">
        <f t="shared" si="1"/>
        <v>0</v>
      </c>
      <c r="H25" s="22">
        <f t="shared" si="1"/>
        <v>0</v>
      </c>
      <c r="I25" s="22">
        <f t="shared" si="1"/>
        <v>0</v>
      </c>
      <c r="J25" s="22">
        <f t="shared" si="1"/>
        <v>0</v>
      </c>
      <c r="K25" s="22">
        <f t="shared" si="1"/>
        <v>0</v>
      </c>
      <c r="L25" s="22">
        <f t="shared" si="1"/>
        <v>0</v>
      </c>
      <c r="M25" s="22">
        <f t="shared" si="1"/>
        <v>0</v>
      </c>
      <c r="N25" s="22">
        <f t="shared" si="1"/>
        <v>0</v>
      </c>
      <c r="O25" s="23">
        <f t="shared" si="1"/>
        <v>0</v>
      </c>
      <c r="P25" s="5">
        <f t="shared" si="1"/>
        <v>0</v>
      </c>
    </row>
    <row r="26" spans="1:16" ht="12" customHeight="1" x14ac:dyDescent="0.2">
      <c r="A26" s="59"/>
      <c r="B26" s="59"/>
      <c r="C26" s="59"/>
      <c r="D26" s="59"/>
      <c r="E26" s="59"/>
      <c r="F26" s="59"/>
      <c r="G26" s="59"/>
      <c r="H26" s="59"/>
      <c r="I26" s="59"/>
      <c r="J26" s="59"/>
      <c r="K26" s="59"/>
      <c r="L26" s="57" t="s">
        <v>39</v>
      </c>
      <c r="M26" s="57"/>
      <c r="N26" s="57"/>
      <c r="O26" s="57"/>
      <c r="P26" s="57"/>
    </row>
    <row r="27" spans="1:16" ht="24" customHeight="1" x14ac:dyDescent="0.2">
      <c r="A27" s="25"/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7"/>
    </row>
    <row r="28" spans="1:16" ht="24" customHeight="1" x14ac:dyDescent="0.2">
      <c r="A28" s="25"/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7"/>
    </row>
  </sheetData>
  <mergeCells count="19">
    <mergeCell ref="O9:O11"/>
    <mergeCell ref="P9:P11"/>
    <mergeCell ref="A26:K26"/>
    <mergeCell ref="L26:P26"/>
    <mergeCell ref="J9:J11"/>
    <mergeCell ref="K9:K11"/>
    <mergeCell ref="L9:L11"/>
    <mergeCell ref="M9:M11"/>
    <mergeCell ref="N9:N11"/>
    <mergeCell ref="E9:E11"/>
    <mergeCell ref="F9:F11"/>
    <mergeCell ref="G9:G11"/>
    <mergeCell ref="H9:H11"/>
    <mergeCell ref="I9:I11"/>
    <mergeCell ref="A7:B7"/>
    <mergeCell ref="A9:A11"/>
    <mergeCell ref="B9:B11"/>
    <mergeCell ref="C9:C11"/>
    <mergeCell ref="D9:D11"/>
  </mergeCells>
  <pageMargins left="0.31527777777777799" right="0.31527777777777799" top="0.78749999999999998" bottom="0.78749999999999998" header="0.511811023622047" footer="0.511811023622047"/>
  <pageSetup paperSize="9" fitToWidth="0" orientation="landscape" horizontalDpi="300" verticalDpi="30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P25"/>
  <sheetViews>
    <sheetView topLeftCell="A4" zoomScaleNormal="100" workbookViewId="0">
      <pane xSplit="1" ySplit="8" topLeftCell="B12" activePane="bottomRight" state="frozen"/>
      <selection activeCell="A4" sqref="A4"/>
      <selection pane="topRight" activeCell="B4" sqref="B4"/>
      <selection pane="bottomLeft" activeCell="A13" sqref="A13"/>
      <selection pane="bottomRight" activeCell="A5" sqref="A5:XFD5"/>
    </sheetView>
  </sheetViews>
  <sheetFormatPr defaultColWidth="9.140625" defaultRowHeight="11.25" x14ac:dyDescent="0.2"/>
  <cols>
    <col min="1" max="1" width="7.42578125" style="2" customWidth="1"/>
    <col min="2" max="2" width="7.85546875" style="2" customWidth="1"/>
    <col min="3" max="3" width="8.42578125" style="2" customWidth="1"/>
    <col min="4" max="4" width="9" style="2" customWidth="1"/>
    <col min="5" max="5" width="8.85546875" style="2" customWidth="1"/>
    <col min="6" max="6" width="8.5703125" style="2" customWidth="1"/>
    <col min="7" max="7" width="6.42578125" style="2" customWidth="1"/>
    <col min="8" max="9" width="8" style="2" customWidth="1"/>
    <col min="10" max="10" width="8.7109375" style="2" customWidth="1"/>
    <col min="11" max="11" width="7.5703125" style="2" customWidth="1"/>
    <col min="12" max="12" width="8" style="2" customWidth="1"/>
    <col min="13" max="13" width="7.85546875" style="2" customWidth="1"/>
    <col min="14" max="14" width="7.7109375" style="2" customWidth="1"/>
    <col min="15" max="15" width="9.140625" style="2"/>
    <col min="16" max="16" width="8.7109375" style="2" customWidth="1"/>
    <col min="17" max="16384" width="9.140625" style="2"/>
  </cols>
  <sheetData>
    <row r="2" spans="1:16" x14ac:dyDescent="0.2">
      <c r="A2" s="2" t="s">
        <v>15</v>
      </c>
    </row>
    <row r="5" spans="1:16" ht="12.75" x14ac:dyDescent="0.2">
      <c r="A5" s="44" t="s">
        <v>42</v>
      </c>
    </row>
    <row r="7" spans="1:16" ht="12" x14ac:dyDescent="0.2">
      <c r="A7" s="52">
        <v>45231</v>
      </c>
      <c r="B7" s="52"/>
      <c r="D7" s="14"/>
      <c r="E7" s="14"/>
      <c r="F7" s="14"/>
      <c r="G7" s="14"/>
      <c r="H7" s="14"/>
    </row>
    <row r="9" spans="1:16" ht="15" customHeight="1" x14ac:dyDescent="0.2">
      <c r="A9" s="53"/>
      <c r="B9" s="54" t="s">
        <v>16</v>
      </c>
      <c r="C9" s="54" t="s">
        <v>17</v>
      </c>
      <c r="D9" s="54" t="s">
        <v>18</v>
      </c>
      <c r="E9" s="54" t="s">
        <v>19</v>
      </c>
      <c r="F9" s="54" t="s">
        <v>20</v>
      </c>
      <c r="G9" s="54" t="s">
        <v>21</v>
      </c>
      <c r="H9" s="54" t="s">
        <v>22</v>
      </c>
      <c r="I9" s="54" t="s">
        <v>23</v>
      </c>
      <c r="J9" s="54" t="s">
        <v>24</v>
      </c>
      <c r="K9" s="54" t="s">
        <v>25</v>
      </c>
      <c r="L9" s="54" t="s">
        <v>26</v>
      </c>
      <c r="M9" s="55" t="s">
        <v>27</v>
      </c>
      <c r="N9" s="55" t="s">
        <v>28</v>
      </c>
      <c r="O9" s="55" t="s">
        <v>29</v>
      </c>
      <c r="P9" s="56" t="s">
        <v>1</v>
      </c>
    </row>
    <row r="10" spans="1:16" ht="11.25" customHeight="1" x14ac:dyDescent="0.2">
      <c r="A10" s="53"/>
      <c r="B10" s="54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5"/>
      <c r="N10" s="55"/>
      <c r="O10" s="55"/>
      <c r="P10" s="56"/>
    </row>
    <row r="11" spans="1:16" ht="11.25" customHeight="1" x14ac:dyDescent="0.2">
      <c r="A11" s="53"/>
      <c r="B11" s="54"/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5"/>
      <c r="N11" s="55"/>
      <c r="O11" s="55"/>
      <c r="P11" s="56"/>
    </row>
    <row r="12" spans="1:16" ht="23.25" customHeight="1" x14ac:dyDescent="0.2">
      <c r="A12" s="15">
        <v>44501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7"/>
      <c r="N12" s="17"/>
      <c r="O12" s="17"/>
      <c r="P12" s="5">
        <f t="shared" ref="P12:P21" si="0">SUM(B12:L12)</f>
        <v>0</v>
      </c>
    </row>
    <row r="13" spans="1:16" ht="23.25" customHeight="1" x14ac:dyDescent="0.2">
      <c r="A13" s="15">
        <v>44503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7"/>
      <c r="N13" s="17"/>
      <c r="O13" s="17"/>
      <c r="P13" s="5">
        <f t="shared" si="0"/>
        <v>0</v>
      </c>
    </row>
    <row r="14" spans="1:16" ht="24" customHeight="1" x14ac:dyDescent="0.2">
      <c r="A14" s="15">
        <v>44872</v>
      </c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7"/>
      <c r="N14" s="17"/>
      <c r="O14" s="17"/>
      <c r="P14" s="5">
        <f t="shared" si="0"/>
        <v>0</v>
      </c>
    </row>
    <row r="15" spans="1:16" ht="24" customHeight="1" x14ac:dyDescent="0.2">
      <c r="A15" s="15">
        <v>44509</v>
      </c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7"/>
      <c r="N15" s="17"/>
      <c r="O15" s="17"/>
      <c r="P15" s="5">
        <f t="shared" si="0"/>
        <v>0</v>
      </c>
    </row>
    <row r="16" spans="1:16" ht="24" customHeight="1" x14ac:dyDescent="0.2">
      <c r="A16" s="15">
        <v>44876</v>
      </c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7"/>
      <c r="N16" s="17"/>
      <c r="O16" s="17"/>
      <c r="P16" s="5">
        <f t="shared" si="0"/>
        <v>0</v>
      </c>
    </row>
    <row r="17" spans="1:16" ht="24" customHeight="1" x14ac:dyDescent="0.2">
      <c r="A17" s="15">
        <v>44881</v>
      </c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7"/>
      <c r="N17" s="17"/>
      <c r="O17" s="17"/>
      <c r="P17" s="5">
        <f t="shared" si="0"/>
        <v>0</v>
      </c>
    </row>
    <row r="18" spans="1:16" ht="24" customHeight="1" x14ac:dyDescent="0.2">
      <c r="A18" s="15">
        <v>44886</v>
      </c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7"/>
      <c r="N18" s="17"/>
      <c r="O18" s="17"/>
      <c r="P18" s="5">
        <f t="shared" si="0"/>
        <v>0</v>
      </c>
    </row>
    <row r="19" spans="1:16" ht="24" customHeight="1" x14ac:dyDescent="0.2">
      <c r="A19" s="15">
        <v>44887</v>
      </c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7"/>
      <c r="N19" s="17"/>
      <c r="O19" s="17"/>
      <c r="P19" s="5">
        <f t="shared" si="0"/>
        <v>0</v>
      </c>
    </row>
    <row r="20" spans="1:16" ht="24" customHeight="1" x14ac:dyDescent="0.2">
      <c r="A20" s="15">
        <v>44888</v>
      </c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7"/>
      <c r="N20" s="17"/>
      <c r="O20" s="17"/>
      <c r="P20" s="5">
        <f t="shared" si="0"/>
        <v>0</v>
      </c>
    </row>
    <row r="21" spans="1:16" ht="24" customHeight="1" x14ac:dyDescent="0.2">
      <c r="A21" s="15">
        <v>44894</v>
      </c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7"/>
      <c r="N21" s="17"/>
      <c r="O21" s="17"/>
      <c r="P21" s="5">
        <f t="shared" si="0"/>
        <v>0</v>
      </c>
    </row>
    <row r="22" spans="1:16" ht="24" customHeight="1" x14ac:dyDescent="0.2">
      <c r="A22" s="30" t="s">
        <v>2</v>
      </c>
      <c r="B22" s="41">
        <f t="shared" ref="B22:P22" si="1">SUM(B12:B21)</f>
        <v>0</v>
      </c>
      <c r="C22" s="22">
        <f t="shared" si="1"/>
        <v>0</v>
      </c>
      <c r="D22" s="22">
        <f t="shared" si="1"/>
        <v>0</v>
      </c>
      <c r="E22" s="22">
        <f t="shared" si="1"/>
        <v>0</v>
      </c>
      <c r="F22" s="22">
        <f t="shared" si="1"/>
        <v>0</v>
      </c>
      <c r="G22" s="22">
        <f t="shared" si="1"/>
        <v>0</v>
      </c>
      <c r="H22" s="22">
        <f t="shared" si="1"/>
        <v>0</v>
      </c>
      <c r="I22" s="22">
        <f t="shared" si="1"/>
        <v>0</v>
      </c>
      <c r="J22" s="22">
        <f t="shared" si="1"/>
        <v>0</v>
      </c>
      <c r="K22" s="22">
        <f t="shared" si="1"/>
        <v>0</v>
      </c>
      <c r="L22" s="22">
        <f t="shared" si="1"/>
        <v>0</v>
      </c>
      <c r="M22" s="22">
        <f t="shared" si="1"/>
        <v>0</v>
      </c>
      <c r="N22" s="22">
        <f t="shared" si="1"/>
        <v>0</v>
      </c>
      <c r="O22" s="23">
        <f t="shared" si="1"/>
        <v>0</v>
      </c>
      <c r="P22" s="5">
        <f t="shared" si="1"/>
        <v>0</v>
      </c>
    </row>
    <row r="23" spans="1:16" ht="12" customHeight="1" x14ac:dyDescent="0.2">
      <c r="A23" s="59"/>
      <c r="B23" s="59"/>
      <c r="C23" s="59"/>
      <c r="D23" s="59"/>
      <c r="E23" s="59"/>
      <c r="F23" s="59"/>
      <c r="G23" s="59"/>
      <c r="H23" s="59"/>
      <c r="I23" s="59"/>
      <c r="J23" s="59"/>
      <c r="K23" s="59"/>
      <c r="L23" s="57" t="s">
        <v>40</v>
      </c>
      <c r="M23" s="57"/>
      <c r="N23" s="57"/>
      <c r="O23" s="57"/>
      <c r="P23" s="57"/>
    </row>
    <row r="24" spans="1:16" ht="24" customHeight="1" x14ac:dyDescent="0.2">
      <c r="A24" s="25"/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7"/>
    </row>
    <row r="25" spans="1:16" ht="24" customHeight="1" x14ac:dyDescent="0.2">
      <c r="A25" s="25"/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7"/>
    </row>
  </sheetData>
  <mergeCells count="19">
    <mergeCell ref="O9:O11"/>
    <mergeCell ref="P9:P11"/>
    <mergeCell ref="A23:K23"/>
    <mergeCell ref="L23:P23"/>
    <mergeCell ref="J9:J11"/>
    <mergeCell ref="K9:K11"/>
    <mergeCell ref="L9:L11"/>
    <mergeCell ref="M9:M11"/>
    <mergeCell ref="N9:N11"/>
    <mergeCell ref="E9:E11"/>
    <mergeCell ref="F9:F11"/>
    <mergeCell ref="G9:G11"/>
    <mergeCell ref="H9:H11"/>
    <mergeCell ref="I9:I11"/>
    <mergeCell ref="A7:B7"/>
    <mergeCell ref="A9:A11"/>
    <mergeCell ref="B9:B11"/>
    <mergeCell ref="C9:C11"/>
    <mergeCell ref="D9:D11"/>
  </mergeCells>
  <pageMargins left="0.31527777777777799" right="0.31527777777777799" top="0.78749999999999998" bottom="0.78749999999999998" header="0.511811023622047" footer="0.511811023622047"/>
  <pageSetup paperSize="9" fitToWidth="0" orientation="landscape" horizontalDpi="300" verticalDpi="30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32"/>
  <sheetViews>
    <sheetView topLeftCell="A4" zoomScaleNormal="100" workbookViewId="0">
      <pane xSplit="1" ySplit="8" topLeftCell="B12" activePane="bottomRight" state="frozen"/>
      <selection activeCell="A4" sqref="A4"/>
      <selection pane="topRight" activeCell="B4" sqref="B4"/>
      <selection pane="bottomLeft" activeCell="A13" sqref="A13"/>
      <selection pane="bottomRight" activeCell="A5" sqref="A5:XFD5"/>
    </sheetView>
  </sheetViews>
  <sheetFormatPr defaultColWidth="9.140625" defaultRowHeight="11.25" x14ac:dyDescent="0.2"/>
  <cols>
    <col min="1" max="1" width="7.42578125" style="2" customWidth="1"/>
    <col min="2" max="2" width="13.140625" style="2" bestFit="1" customWidth="1"/>
    <col min="3" max="3" width="8.42578125" style="2" customWidth="1"/>
    <col min="4" max="4" width="7.85546875" style="2" customWidth="1"/>
    <col min="5" max="5" width="8.42578125" style="2" customWidth="1"/>
    <col min="6" max="6" width="9" style="2" customWidth="1"/>
    <col min="7" max="7" width="8.85546875" style="2" customWidth="1"/>
    <col min="8" max="8" width="8.5703125" style="2" customWidth="1"/>
    <col min="9" max="9" width="6.42578125" style="2" customWidth="1"/>
    <col min="10" max="11" width="8" style="2" customWidth="1"/>
    <col min="12" max="12" width="8.7109375" style="2" customWidth="1"/>
    <col min="13" max="13" width="7.5703125" style="2" customWidth="1"/>
    <col min="14" max="14" width="8" style="2" customWidth="1"/>
    <col min="15" max="15" width="7.85546875" style="2" customWidth="1"/>
    <col min="16" max="16" width="7.7109375" style="2" customWidth="1"/>
    <col min="17" max="17" width="9.140625" style="2"/>
    <col min="18" max="18" width="8.7109375" style="2" customWidth="1"/>
    <col min="19" max="16384" width="9.140625" style="2"/>
  </cols>
  <sheetData>
    <row r="2" spans="1:18" x14ac:dyDescent="0.2">
      <c r="A2" s="2" t="s">
        <v>15</v>
      </c>
    </row>
    <row r="5" spans="1:18" ht="12.75" x14ac:dyDescent="0.2">
      <c r="A5" s="44" t="s">
        <v>42</v>
      </c>
    </row>
    <row r="7" spans="1:18" ht="12" x14ac:dyDescent="0.2">
      <c r="A7" s="52">
        <v>45261</v>
      </c>
      <c r="B7" s="52"/>
      <c r="C7" s="52"/>
      <c r="D7" s="52"/>
      <c r="F7" s="14"/>
      <c r="G7" s="14"/>
      <c r="H7" s="14"/>
      <c r="I7" s="14"/>
      <c r="J7" s="14"/>
    </row>
    <row r="9" spans="1:18" ht="15" customHeight="1" x14ac:dyDescent="0.2">
      <c r="A9" s="53"/>
      <c r="B9" s="54" t="s">
        <v>30</v>
      </c>
      <c r="C9" s="54" t="s">
        <v>31</v>
      </c>
      <c r="D9" s="54" t="s">
        <v>16</v>
      </c>
      <c r="E9" s="54" t="s">
        <v>17</v>
      </c>
      <c r="F9" s="54" t="s">
        <v>18</v>
      </c>
      <c r="G9" s="54" t="s">
        <v>19</v>
      </c>
      <c r="H9" s="54" t="s">
        <v>20</v>
      </c>
      <c r="I9" s="54" t="s">
        <v>21</v>
      </c>
      <c r="J9" s="54" t="s">
        <v>22</v>
      </c>
      <c r="K9" s="54" t="s">
        <v>23</v>
      </c>
      <c r="L9" s="54" t="s">
        <v>24</v>
      </c>
      <c r="M9" s="54" t="s">
        <v>25</v>
      </c>
      <c r="N9" s="54" t="s">
        <v>26</v>
      </c>
      <c r="O9" s="55" t="s">
        <v>27</v>
      </c>
      <c r="P9" s="55" t="s">
        <v>28</v>
      </c>
      <c r="Q9" s="55" t="s">
        <v>29</v>
      </c>
      <c r="R9" s="56" t="s">
        <v>1</v>
      </c>
    </row>
    <row r="10" spans="1:18" ht="11.25" customHeight="1" x14ac:dyDescent="0.2">
      <c r="A10" s="53"/>
      <c r="B10" s="54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5"/>
      <c r="P10" s="55"/>
      <c r="Q10" s="55"/>
      <c r="R10" s="56"/>
    </row>
    <row r="11" spans="1:18" ht="11.25" customHeight="1" x14ac:dyDescent="0.2">
      <c r="A11" s="53"/>
      <c r="B11" s="54"/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5"/>
      <c r="P11" s="55"/>
      <c r="Q11" s="55"/>
      <c r="R11" s="56"/>
    </row>
    <row r="12" spans="1:18" ht="23.25" customHeight="1" x14ac:dyDescent="0.2">
      <c r="A12" s="15">
        <v>44896</v>
      </c>
      <c r="B12" s="43"/>
      <c r="C12" s="43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7"/>
      <c r="P12" s="17"/>
      <c r="Q12" s="17"/>
      <c r="R12" s="5">
        <f>SUM(B12:N12)</f>
        <v>0</v>
      </c>
    </row>
    <row r="13" spans="1:18" ht="24" customHeight="1" x14ac:dyDescent="0.2">
      <c r="A13" s="15">
        <v>44897</v>
      </c>
      <c r="B13" s="43"/>
      <c r="C13" s="43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7"/>
      <c r="P13" s="17"/>
      <c r="Q13" s="17"/>
      <c r="R13" s="5">
        <f t="shared" ref="R13:R28" si="0">SUM(B13:N13)</f>
        <v>0</v>
      </c>
    </row>
    <row r="14" spans="1:18" ht="24" customHeight="1" x14ac:dyDescent="0.2">
      <c r="A14" s="15">
        <v>44901</v>
      </c>
      <c r="B14" s="43"/>
      <c r="C14" s="43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7"/>
      <c r="P14" s="17"/>
      <c r="Q14" s="17"/>
      <c r="R14" s="5">
        <f t="shared" si="0"/>
        <v>0</v>
      </c>
    </row>
    <row r="15" spans="1:18" ht="24" customHeight="1" x14ac:dyDescent="0.2">
      <c r="A15" s="15">
        <v>44902</v>
      </c>
      <c r="B15" s="43"/>
      <c r="C15" s="43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7"/>
      <c r="P15" s="17"/>
      <c r="Q15" s="17"/>
      <c r="R15" s="5">
        <f t="shared" si="0"/>
        <v>0</v>
      </c>
    </row>
    <row r="16" spans="1:18" ht="24" customHeight="1" x14ac:dyDescent="0.2">
      <c r="A16" s="15">
        <v>44904</v>
      </c>
      <c r="B16" s="43"/>
      <c r="C16" s="43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7"/>
      <c r="P16" s="17"/>
      <c r="Q16" s="17"/>
      <c r="R16" s="5">
        <f t="shared" si="0"/>
        <v>0</v>
      </c>
    </row>
    <row r="17" spans="1:18" ht="24" customHeight="1" x14ac:dyDescent="0.2">
      <c r="A17" s="15">
        <v>44908</v>
      </c>
      <c r="B17" s="43"/>
      <c r="C17" s="43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7"/>
      <c r="P17" s="17"/>
      <c r="Q17" s="17"/>
      <c r="R17" s="5">
        <f t="shared" si="0"/>
        <v>0</v>
      </c>
    </row>
    <row r="18" spans="1:18" ht="24" customHeight="1" x14ac:dyDescent="0.2">
      <c r="A18" s="15">
        <v>44909</v>
      </c>
      <c r="B18" s="43"/>
      <c r="C18" s="43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7"/>
      <c r="P18" s="17"/>
      <c r="Q18" s="17"/>
      <c r="R18" s="5">
        <f t="shared" si="0"/>
        <v>0</v>
      </c>
    </row>
    <row r="19" spans="1:18" ht="24" customHeight="1" x14ac:dyDescent="0.2">
      <c r="A19" s="15">
        <v>44910</v>
      </c>
      <c r="B19" s="43"/>
      <c r="C19" s="43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7"/>
      <c r="P19" s="17"/>
      <c r="Q19" s="17"/>
      <c r="R19" s="5">
        <f t="shared" si="0"/>
        <v>0</v>
      </c>
    </row>
    <row r="20" spans="1:18" ht="24" customHeight="1" x14ac:dyDescent="0.2">
      <c r="A20" s="15">
        <v>44911</v>
      </c>
      <c r="B20" s="43"/>
      <c r="C20" s="43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7"/>
      <c r="P20" s="17"/>
      <c r="Q20" s="17"/>
      <c r="R20" s="5">
        <f t="shared" si="0"/>
        <v>0</v>
      </c>
    </row>
    <row r="21" spans="1:18" ht="24" customHeight="1" x14ac:dyDescent="0.2">
      <c r="A21" s="15">
        <v>44914</v>
      </c>
      <c r="B21" s="43"/>
      <c r="C21" s="43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7"/>
      <c r="P21" s="17"/>
      <c r="Q21" s="17"/>
      <c r="R21" s="5">
        <f t="shared" si="0"/>
        <v>0</v>
      </c>
    </row>
    <row r="22" spans="1:18" ht="24" customHeight="1" x14ac:dyDescent="0.2">
      <c r="A22" s="15">
        <v>44915</v>
      </c>
      <c r="B22" s="43"/>
      <c r="C22" s="43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7"/>
      <c r="P22" s="17"/>
      <c r="Q22" s="17"/>
      <c r="R22" s="5">
        <f t="shared" si="0"/>
        <v>0</v>
      </c>
    </row>
    <row r="23" spans="1:18" ht="24" customHeight="1" x14ac:dyDescent="0.2">
      <c r="A23" s="15">
        <v>44917</v>
      </c>
      <c r="B23" s="43"/>
      <c r="C23" s="43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7"/>
      <c r="P23" s="17"/>
      <c r="Q23" s="17"/>
      <c r="R23" s="5">
        <f t="shared" si="0"/>
        <v>0</v>
      </c>
    </row>
    <row r="24" spans="1:18" ht="24" customHeight="1" x14ac:dyDescent="0.2">
      <c r="A24" s="15">
        <v>44921</v>
      </c>
      <c r="B24" s="43"/>
      <c r="C24" s="43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7"/>
      <c r="P24" s="17"/>
      <c r="Q24" s="17"/>
      <c r="R24" s="5">
        <f t="shared" si="0"/>
        <v>0</v>
      </c>
    </row>
    <row r="25" spans="1:18" ht="24" customHeight="1" x14ac:dyDescent="0.2">
      <c r="A25" s="15">
        <v>44922</v>
      </c>
      <c r="B25" s="43"/>
      <c r="C25" s="43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7"/>
      <c r="P25" s="17"/>
      <c r="Q25" s="17"/>
      <c r="R25" s="5">
        <f t="shared" si="0"/>
        <v>0</v>
      </c>
    </row>
    <row r="26" spans="1:18" ht="24" customHeight="1" x14ac:dyDescent="0.2">
      <c r="A26" s="15">
        <v>44923</v>
      </c>
      <c r="B26" s="43"/>
      <c r="C26" s="43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7"/>
      <c r="P26" s="17"/>
      <c r="Q26" s="17"/>
      <c r="R26" s="5">
        <f t="shared" si="0"/>
        <v>0</v>
      </c>
    </row>
    <row r="27" spans="1:18" ht="24" customHeight="1" x14ac:dyDescent="0.2">
      <c r="A27" s="15">
        <v>44924</v>
      </c>
      <c r="B27" s="43"/>
      <c r="C27" s="43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7"/>
      <c r="P27" s="17"/>
      <c r="Q27" s="17"/>
      <c r="R27" s="5">
        <f t="shared" si="0"/>
        <v>0</v>
      </c>
    </row>
    <row r="28" spans="1:18" ht="24" customHeight="1" x14ac:dyDescent="0.2">
      <c r="A28" s="15">
        <v>44925</v>
      </c>
      <c r="B28" s="43"/>
      <c r="C28" s="43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7"/>
      <c r="P28" s="17"/>
      <c r="Q28" s="17"/>
      <c r="R28" s="5">
        <f t="shared" si="0"/>
        <v>0</v>
      </c>
    </row>
    <row r="29" spans="1:18" ht="24" customHeight="1" x14ac:dyDescent="0.2">
      <c r="A29" s="30" t="s">
        <v>2</v>
      </c>
      <c r="B29" s="41">
        <f t="shared" ref="B29:Q29" si="1">SUM(B12:B28)</f>
        <v>0</v>
      </c>
      <c r="C29" s="41">
        <f t="shared" si="1"/>
        <v>0</v>
      </c>
      <c r="D29" s="41">
        <f t="shared" si="1"/>
        <v>0</v>
      </c>
      <c r="E29" s="22">
        <f t="shared" si="1"/>
        <v>0</v>
      </c>
      <c r="F29" s="22">
        <f t="shared" si="1"/>
        <v>0</v>
      </c>
      <c r="G29" s="22">
        <f t="shared" si="1"/>
        <v>0</v>
      </c>
      <c r="H29" s="22">
        <f t="shared" si="1"/>
        <v>0</v>
      </c>
      <c r="I29" s="22">
        <f t="shared" si="1"/>
        <v>0</v>
      </c>
      <c r="J29" s="22">
        <f t="shared" si="1"/>
        <v>0</v>
      </c>
      <c r="K29" s="22">
        <f t="shared" si="1"/>
        <v>0</v>
      </c>
      <c r="L29" s="22">
        <f t="shared" si="1"/>
        <v>0</v>
      </c>
      <c r="M29" s="22">
        <f t="shared" si="1"/>
        <v>0</v>
      </c>
      <c r="N29" s="22">
        <f t="shared" si="1"/>
        <v>0</v>
      </c>
      <c r="O29" s="22">
        <f t="shared" si="1"/>
        <v>0</v>
      </c>
      <c r="P29" s="22">
        <f t="shared" si="1"/>
        <v>0</v>
      </c>
      <c r="Q29" s="23">
        <f t="shared" si="1"/>
        <v>0</v>
      </c>
      <c r="R29" s="5">
        <f>SUM(R12:R28)</f>
        <v>0</v>
      </c>
    </row>
    <row r="30" spans="1:18" ht="12" customHeight="1" x14ac:dyDescent="0.2">
      <c r="A30" s="59"/>
      <c r="B30" s="59"/>
      <c r="C30" s="59"/>
      <c r="D30" s="59"/>
      <c r="E30" s="59"/>
      <c r="F30" s="59"/>
      <c r="G30" s="59"/>
      <c r="H30" s="59"/>
      <c r="I30" s="59"/>
      <c r="J30" s="59"/>
      <c r="K30" s="59"/>
      <c r="L30" s="59"/>
      <c r="M30" s="59"/>
      <c r="N30" s="57" t="s">
        <v>41</v>
      </c>
      <c r="O30" s="57"/>
      <c r="P30" s="57"/>
      <c r="Q30" s="57"/>
      <c r="R30" s="57"/>
    </row>
    <row r="31" spans="1:18" ht="24" customHeight="1" x14ac:dyDescent="0.2">
      <c r="A31" s="25"/>
      <c r="B31" s="25"/>
      <c r="C31" s="25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7"/>
    </row>
    <row r="32" spans="1:18" ht="24" customHeight="1" x14ac:dyDescent="0.2">
      <c r="A32" s="25"/>
      <c r="B32" s="25"/>
      <c r="C32" s="25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7"/>
    </row>
  </sheetData>
  <mergeCells count="21">
    <mergeCell ref="Q9:Q11"/>
    <mergeCell ref="R9:R11"/>
    <mergeCell ref="A30:M30"/>
    <mergeCell ref="N30:R30"/>
    <mergeCell ref="L9:L11"/>
    <mergeCell ref="M9:M11"/>
    <mergeCell ref="N9:N11"/>
    <mergeCell ref="O9:O11"/>
    <mergeCell ref="P9:P11"/>
    <mergeCell ref="G9:G11"/>
    <mergeCell ref="H9:H11"/>
    <mergeCell ref="I9:I11"/>
    <mergeCell ref="J9:J11"/>
    <mergeCell ref="K9:K11"/>
    <mergeCell ref="C9:C11"/>
    <mergeCell ref="A7:D7"/>
    <mergeCell ref="A9:A11"/>
    <mergeCell ref="D9:D11"/>
    <mergeCell ref="E9:E11"/>
    <mergeCell ref="F9:F11"/>
    <mergeCell ref="B9:B11"/>
  </mergeCells>
  <pageMargins left="0.39370078740157483" right="0.39370078740157483" top="0.39370078740157483" bottom="0.39370078740157483" header="0.51181102362204722" footer="0.51181102362204722"/>
  <pageSetup paperSize="9" scale="90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S34"/>
  <sheetViews>
    <sheetView topLeftCell="A4" zoomScaleNormal="100" workbookViewId="0">
      <pane xSplit="1" ySplit="8" topLeftCell="B12" activePane="bottomRight" state="frozen"/>
      <selection activeCell="A4" sqref="A4"/>
      <selection pane="topRight" activeCell="B4" sqref="B4"/>
      <selection pane="bottomLeft" activeCell="A25" sqref="A25"/>
      <selection pane="bottomRight" activeCell="A2" sqref="A2"/>
    </sheetView>
  </sheetViews>
  <sheetFormatPr defaultColWidth="9.140625" defaultRowHeight="11.25" x14ac:dyDescent="0.2"/>
  <cols>
    <col min="1" max="1" width="8.7109375" style="2" customWidth="1"/>
    <col min="2" max="3" width="8.42578125" style="2" customWidth="1"/>
    <col min="4" max="4" width="7.5703125" style="2" customWidth="1"/>
    <col min="5" max="5" width="8.85546875" style="2" customWidth="1"/>
    <col min="6" max="6" width="8.5703125" style="2" customWidth="1"/>
    <col min="7" max="7" width="6.42578125" style="2" customWidth="1"/>
    <col min="8" max="9" width="8" style="2" customWidth="1"/>
    <col min="10" max="10" width="8.7109375" style="2" customWidth="1"/>
    <col min="11" max="11" width="7.5703125" style="2" customWidth="1"/>
    <col min="12" max="12" width="8" style="2" customWidth="1"/>
    <col min="13" max="13" width="7.85546875" style="2" customWidth="1"/>
    <col min="14" max="14" width="7.7109375" style="2" customWidth="1"/>
    <col min="15" max="15" width="9.140625" style="2"/>
    <col min="16" max="16" width="8.7109375" style="2" customWidth="1"/>
    <col min="17" max="16384" width="9.140625" style="2"/>
  </cols>
  <sheetData>
    <row r="5" spans="1:18" ht="12.75" x14ac:dyDescent="0.2">
      <c r="A5" s="44" t="s">
        <v>42</v>
      </c>
    </row>
    <row r="7" spans="1:18" ht="12" x14ac:dyDescent="0.2">
      <c r="A7" s="52">
        <v>44927</v>
      </c>
      <c r="B7" s="52"/>
      <c r="D7" s="14"/>
      <c r="E7" s="14"/>
      <c r="F7" s="14"/>
      <c r="G7" s="14"/>
      <c r="H7" s="14"/>
    </row>
    <row r="9" spans="1:18" ht="15" customHeight="1" x14ac:dyDescent="0.2">
      <c r="A9" s="53"/>
      <c r="B9" s="54" t="s">
        <v>30</v>
      </c>
      <c r="C9" s="54" t="s">
        <v>17</v>
      </c>
      <c r="D9" s="54" t="s">
        <v>31</v>
      </c>
      <c r="E9" s="54" t="s">
        <v>19</v>
      </c>
      <c r="F9" s="54" t="s">
        <v>20</v>
      </c>
      <c r="G9" s="54" t="s">
        <v>21</v>
      </c>
      <c r="H9" s="54" t="s">
        <v>22</v>
      </c>
      <c r="I9" s="54" t="s">
        <v>23</v>
      </c>
      <c r="J9" s="54" t="s">
        <v>24</v>
      </c>
      <c r="K9" s="54" t="s">
        <v>25</v>
      </c>
      <c r="L9" s="54" t="s">
        <v>26</v>
      </c>
      <c r="M9" s="55" t="s">
        <v>27</v>
      </c>
      <c r="N9" s="55" t="s">
        <v>28</v>
      </c>
      <c r="O9" s="55" t="s">
        <v>29</v>
      </c>
      <c r="P9" s="56" t="s">
        <v>1</v>
      </c>
    </row>
    <row r="10" spans="1:18" ht="11.25" customHeight="1" x14ac:dyDescent="0.2">
      <c r="A10" s="53"/>
      <c r="B10" s="54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5"/>
      <c r="N10" s="55"/>
      <c r="O10" s="55"/>
      <c r="P10" s="56"/>
    </row>
    <row r="11" spans="1:18" ht="11.25" customHeight="1" x14ac:dyDescent="0.2">
      <c r="A11" s="53"/>
      <c r="B11" s="54"/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5"/>
      <c r="N11" s="55"/>
      <c r="O11" s="55"/>
      <c r="P11" s="56"/>
    </row>
    <row r="12" spans="1:18" ht="24" customHeight="1" x14ac:dyDescent="0.2">
      <c r="A12" s="15">
        <v>44929</v>
      </c>
      <c r="B12" s="16">
        <f>124.95+124.95+124.95+124.95+124.95</f>
        <v>624.75</v>
      </c>
      <c r="C12" s="16">
        <f>78.06+3.22+10.57+10.01+14.66+5.37+11.92+14.31+16.19+17.68+18.12+7.65+19.47</f>
        <v>227.23000000000002</v>
      </c>
      <c r="D12" s="16">
        <f>348.92+348.92</f>
        <v>697.84</v>
      </c>
      <c r="E12" s="16"/>
      <c r="F12" s="16"/>
      <c r="G12" s="16"/>
      <c r="H12" s="16"/>
      <c r="I12" s="16"/>
      <c r="J12" s="16">
        <f>0.62+0.62+0.62</f>
        <v>1.8599999999999999</v>
      </c>
      <c r="K12" s="16"/>
      <c r="L12" s="16"/>
      <c r="M12" s="17"/>
      <c r="N12" s="17"/>
      <c r="O12" s="17"/>
      <c r="P12" s="5">
        <f>SUM(B12:L12)</f>
        <v>1551.68</v>
      </c>
      <c r="R12" s="45"/>
    </row>
    <row r="13" spans="1:18" ht="24" customHeight="1" x14ac:dyDescent="0.2">
      <c r="A13" s="15">
        <v>44930</v>
      </c>
      <c r="B13" s="18">
        <f>124.95+62.48+124.95</f>
        <v>312.38</v>
      </c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7"/>
      <c r="N13" s="17"/>
      <c r="O13" s="17"/>
      <c r="P13" s="5">
        <f t="shared" ref="P13:P30" si="0">SUM(B13:L13)</f>
        <v>312.38</v>
      </c>
    </row>
    <row r="14" spans="1:18" ht="24" customHeight="1" x14ac:dyDescent="0.2">
      <c r="A14" s="15">
        <v>44931</v>
      </c>
      <c r="B14" s="18">
        <f>124.95+124.95</f>
        <v>249.9</v>
      </c>
      <c r="C14" s="18">
        <f>28.16+26.91+36.85+42.01+43.1+39.91+35.32+28.99</f>
        <v>281.25</v>
      </c>
      <c r="D14" s="18"/>
      <c r="E14" s="18"/>
      <c r="F14" s="18"/>
      <c r="G14" s="18"/>
      <c r="H14" s="18"/>
      <c r="I14" s="18"/>
      <c r="J14" s="18">
        <f>0.62</f>
        <v>0.62</v>
      </c>
      <c r="K14" s="18"/>
      <c r="L14" s="18"/>
      <c r="M14" s="17"/>
      <c r="N14" s="17"/>
      <c r="O14" s="17"/>
      <c r="P14" s="5">
        <f t="shared" si="0"/>
        <v>531.77</v>
      </c>
    </row>
    <row r="15" spans="1:18" ht="24" customHeight="1" x14ac:dyDescent="0.2">
      <c r="A15" s="15">
        <v>44932</v>
      </c>
      <c r="B15" s="18">
        <f>124.95+29.4</f>
        <v>154.35</v>
      </c>
      <c r="C15" s="18">
        <f>104.21+172.99+166.04+165.18+153.04+27.13+39.54</f>
        <v>828.13</v>
      </c>
      <c r="D15" s="18"/>
      <c r="E15" s="18"/>
      <c r="F15" s="18"/>
      <c r="G15" s="18"/>
      <c r="H15" s="18"/>
      <c r="I15" s="18"/>
      <c r="J15" s="18">
        <f>0.62+0.62</f>
        <v>1.24</v>
      </c>
      <c r="K15" s="18"/>
      <c r="L15" s="18"/>
      <c r="M15" s="17"/>
      <c r="N15" s="17"/>
      <c r="O15" s="17"/>
      <c r="P15" s="5">
        <f t="shared" si="0"/>
        <v>983.72</v>
      </c>
    </row>
    <row r="16" spans="1:18" ht="24" customHeight="1" x14ac:dyDescent="0.2">
      <c r="A16" s="15">
        <v>44935</v>
      </c>
      <c r="B16" s="18">
        <f>124.95+124.95</f>
        <v>249.9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7"/>
      <c r="N16" s="17"/>
      <c r="O16" s="17"/>
      <c r="P16" s="5">
        <f t="shared" si="0"/>
        <v>249.9</v>
      </c>
    </row>
    <row r="17" spans="1:19" ht="24" customHeight="1" x14ac:dyDescent="0.2">
      <c r="A17" s="15">
        <v>44936</v>
      </c>
      <c r="B17" s="18">
        <f>124.95+29.4</f>
        <v>154.35</v>
      </c>
      <c r="C17" s="18">
        <f>31.63+26.38</f>
        <v>58.01</v>
      </c>
      <c r="D17" s="18"/>
      <c r="E17" s="18"/>
      <c r="F17" s="18"/>
      <c r="G17" s="18"/>
      <c r="H17" s="18"/>
      <c r="I17" s="18"/>
      <c r="J17" s="18">
        <f>0.62</f>
        <v>0.62</v>
      </c>
      <c r="K17" s="18"/>
      <c r="L17" s="18"/>
      <c r="M17" s="17"/>
      <c r="N17" s="17"/>
      <c r="O17" s="17"/>
      <c r="P17" s="5">
        <f t="shared" si="0"/>
        <v>212.98</v>
      </c>
    </row>
    <row r="18" spans="1:19" ht="24" customHeight="1" x14ac:dyDescent="0.2">
      <c r="A18" s="15">
        <v>44937</v>
      </c>
      <c r="B18" s="18">
        <f>124.95</f>
        <v>124.95</v>
      </c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7"/>
      <c r="N18" s="17"/>
      <c r="O18" s="17"/>
      <c r="P18" s="5">
        <f t="shared" si="0"/>
        <v>124.95</v>
      </c>
    </row>
    <row r="19" spans="1:19" ht="24" customHeight="1" x14ac:dyDescent="0.2">
      <c r="A19" s="15">
        <v>44938</v>
      </c>
      <c r="B19" s="18">
        <f>124.95+29.4</f>
        <v>154.35</v>
      </c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7"/>
      <c r="N19" s="17"/>
      <c r="O19" s="17"/>
      <c r="P19" s="5">
        <f t="shared" si="0"/>
        <v>154.35</v>
      </c>
    </row>
    <row r="20" spans="1:19" ht="24" customHeight="1" x14ac:dyDescent="0.2">
      <c r="A20" s="15">
        <v>44942</v>
      </c>
      <c r="B20" s="18">
        <f>29.4+29.4+29.4</f>
        <v>88.199999999999989</v>
      </c>
      <c r="C20" s="18"/>
      <c r="D20" s="18"/>
      <c r="E20" s="18">
        <f>294.59</f>
        <v>294.58999999999997</v>
      </c>
      <c r="F20" s="18"/>
      <c r="G20" s="18"/>
      <c r="H20" s="18"/>
      <c r="I20" s="18"/>
      <c r="J20" s="18"/>
      <c r="K20" s="18"/>
      <c r="L20" s="18"/>
      <c r="M20" s="17"/>
      <c r="N20" s="17"/>
      <c r="O20" s="17"/>
      <c r="P20" s="5">
        <f t="shared" si="0"/>
        <v>382.78999999999996</v>
      </c>
    </row>
    <row r="21" spans="1:19" ht="24" customHeight="1" x14ac:dyDescent="0.2">
      <c r="A21" s="15">
        <v>44943</v>
      </c>
      <c r="B21" s="18">
        <f>124.95+29.4+124.95+124.95</f>
        <v>404.25</v>
      </c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7"/>
      <c r="N21" s="17"/>
      <c r="O21" s="17"/>
      <c r="P21" s="5">
        <f t="shared" si="0"/>
        <v>404.25</v>
      </c>
    </row>
    <row r="22" spans="1:19" ht="24" customHeight="1" x14ac:dyDescent="0.2">
      <c r="A22" s="15">
        <v>44944</v>
      </c>
      <c r="B22" s="18">
        <f>14.7</f>
        <v>14.7</v>
      </c>
      <c r="C22" s="18"/>
      <c r="D22" s="18"/>
      <c r="E22" s="18">
        <f>20.09+24.47</f>
        <v>44.56</v>
      </c>
      <c r="F22" s="18"/>
      <c r="G22" s="18"/>
      <c r="H22" s="18"/>
      <c r="I22" s="18"/>
      <c r="J22" s="18">
        <v>0.62</v>
      </c>
      <c r="K22" s="18"/>
      <c r="L22" s="18"/>
      <c r="M22" s="17"/>
      <c r="N22" s="17"/>
      <c r="O22" s="17"/>
      <c r="P22" s="5">
        <f t="shared" si="0"/>
        <v>59.88</v>
      </c>
    </row>
    <row r="23" spans="1:19" ht="24" customHeight="1" x14ac:dyDescent="0.2">
      <c r="A23" s="15">
        <v>44945</v>
      </c>
      <c r="B23" s="18">
        <v>124.95</v>
      </c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7"/>
      <c r="N23" s="17"/>
      <c r="O23" s="17"/>
      <c r="P23" s="5">
        <f t="shared" si="0"/>
        <v>124.95</v>
      </c>
    </row>
    <row r="24" spans="1:19" ht="24" customHeight="1" x14ac:dyDescent="0.2">
      <c r="A24" s="15">
        <v>44946</v>
      </c>
      <c r="B24" s="18">
        <f>124.95+29.4+124.95+124.95</f>
        <v>404.25</v>
      </c>
      <c r="C24" s="18"/>
      <c r="D24" s="18">
        <f>173.61</f>
        <v>173.61</v>
      </c>
      <c r="E24" s="18"/>
      <c r="F24" s="18"/>
      <c r="G24" s="18"/>
      <c r="H24" s="18"/>
      <c r="I24" s="18"/>
      <c r="J24" s="18"/>
      <c r="K24" s="18"/>
      <c r="L24" s="18"/>
      <c r="M24" s="17"/>
      <c r="N24" s="17"/>
      <c r="O24" s="17"/>
      <c r="P24" s="5">
        <f t="shared" si="0"/>
        <v>577.86</v>
      </c>
    </row>
    <row r="25" spans="1:19" ht="24" customHeight="1" x14ac:dyDescent="0.2">
      <c r="A25" s="15">
        <v>44949</v>
      </c>
      <c r="B25" s="18">
        <f>124.95</f>
        <v>124.95</v>
      </c>
      <c r="C25" s="18"/>
      <c r="D25" s="18"/>
      <c r="E25" s="18"/>
      <c r="F25" s="18"/>
      <c r="G25" s="18"/>
      <c r="H25" s="18"/>
      <c r="I25" s="18"/>
      <c r="J25" s="18"/>
      <c r="K25" s="18">
        <f>38</f>
        <v>38</v>
      </c>
      <c r="L25" s="18"/>
      <c r="M25" s="17"/>
      <c r="N25" s="17"/>
      <c r="O25" s="17"/>
      <c r="P25" s="5">
        <f t="shared" si="0"/>
        <v>162.94999999999999</v>
      </c>
    </row>
    <row r="26" spans="1:19" ht="24" customHeight="1" x14ac:dyDescent="0.2">
      <c r="A26" s="15">
        <v>44950</v>
      </c>
      <c r="B26" s="18">
        <f>29.4+29.4+124.95+124.95</f>
        <v>308.7</v>
      </c>
      <c r="C26" s="18">
        <f>20.26+23.15+15.69</f>
        <v>59.099999999999994</v>
      </c>
      <c r="D26" s="18">
        <f>173.61</f>
        <v>173.61</v>
      </c>
      <c r="E26" s="18"/>
      <c r="F26" s="18"/>
      <c r="G26" s="18"/>
      <c r="H26" s="18"/>
      <c r="I26" s="18"/>
      <c r="J26" s="18">
        <f>0.62</f>
        <v>0.62</v>
      </c>
      <c r="K26" s="18">
        <v>38</v>
      </c>
      <c r="L26" s="18"/>
      <c r="M26" s="17"/>
      <c r="N26" s="17"/>
      <c r="O26" s="17"/>
      <c r="P26" s="5">
        <f t="shared" si="0"/>
        <v>580.03</v>
      </c>
    </row>
    <row r="27" spans="1:19" ht="24" customHeight="1" x14ac:dyDescent="0.2">
      <c r="A27" s="15">
        <v>44951</v>
      </c>
      <c r="B27" s="18"/>
      <c r="C27" s="18">
        <f>16.26+15.98+15.12+14.76+13.52</f>
        <v>75.64</v>
      </c>
      <c r="D27" s="18"/>
      <c r="E27" s="18"/>
      <c r="F27" s="18"/>
      <c r="G27" s="18"/>
      <c r="H27" s="18"/>
      <c r="I27" s="18"/>
      <c r="J27" s="18">
        <f>0.62</f>
        <v>0.62</v>
      </c>
      <c r="K27" s="18"/>
      <c r="L27" s="18"/>
      <c r="M27" s="17"/>
      <c r="N27" s="17"/>
      <c r="O27" s="17"/>
      <c r="P27" s="5">
        <f t="shared" si="0"/>
        <v>76.260000000000005</v>
      </c>
    </row>
    <row r="28" spans="1:19" ht="24" customHeight="1" x14ac:dyDescent="0.2">
      <c r="A28" s="15">
        <v>44952</v>
      </c>
      <c r="B28" s="18">
        <f>124.95</f>
        <v>124.95</v>
      </c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7"/>
      <c r="N28" s="17"/>
      <c r="O28" s="17"/>
      <c r="P28" s="5">
        <f t="shared" si="0"/>
        <v>124.95</v>
      </c>
    </row>
    <row r="29" spans="1:19" ht="24" customHeight="1" x14ac:dyDescent="0.2">
      <c r="A29" s="15">
        <v>44953</v>
      </c>
      <c r="B29" s="18">
        <f>29.4+124.95+124.95</f>
        <v>279.3</v>
      </c>
      <c r="C29" s="18"/>
      <c r="D29" s="18">
        <f>173.61</f>
        <v>173.61</v>
      </c>
      <c r="E29" s="18"/>
      <c r="F29" s="18"/>
      <c r="G29" s="18"/>
      <c r="H29" s="18"/>
      <c r="I29" s="18"/>
      <c r="J29" s="18"/>
      <c r="K29" s="18"/>
      <c r="L29" s="18"/>
      <c r="M29" s="17"/>
      <c r="N29" s="17"/>
      <c r="O29" s="17"/>
      <c r="P29" s="5">
        <f t="shared" si="0"/>
        <v>452.91</v>
      </c>
    </row>
    <row r="30" spans="1:19" ht="24" customHeight="1" x14ac:dyDescent="0.2">
      <c r="A30" s="15">
        <v>44957</v>
      </c>
      <c r="B30" s="18">
        <f>124.95+124.95+124.95+124.95+124.95+124.95+124.95+14.7+29.4</f>
        <v>918.75000000000011</v>
      </c>
      <c r="C30" s="18">
        <f>31.67</f>
        <v>31.67</v>
      </c>
      <c r="D30" s="18">
        <f>173.61+173.61+40.85+82.1</f>
        <v>470.17000000000007</v>
      </c>
      <c r="E30" s="18"/>
      <c r="F30" s="18"/>
      <c r="G30" s="18"/>
      <c r="H30" s="18"/>
      <c r="I30" s="18"/>
      <c r="J30" s="18">
        <f>0.62</f>
        <v>0.62</v>
      </c>
      <c r="K30" s="18"/>
      <c r="L30" s="18"/>
      <c r="M30" s="17"/>
      <c r="N30" s="17"/>
      <c r="O30" s="17"/>
      <c r="P30" s="5">
        <f t="shared" si="0"/>
        <v>1421.21</v>
      </c>
    </row>
    <row r="31" spans="1:19" ht="24" customHeight="1" x14ac:dyDescent="0.2">
      <c r="A31" s="19" t="s">
        <v>2</v>
      </c>
      <c r="B31" s="20">
        <f>SUM(B12:B30)</f>
        <v>4817.9299999999994</v>
      </c>
      <c r="C31" s="20">
        <f t="shared" ref="C31:O31" si="1">SUM(C12:C30)</f>
        <v>1561.0300000000002</v>
      </c>
      <c r="D31" s="20">
        <f t="shared" si="1"/>
        <v>1688.8400000000001</v>
      </c>
      <c r="E31" s="20">
        <f t="shared" si="1"/>
        <v>339.15</v>
      </c>
      <c r="F31" s="20">
        <f t="shared" si="1"/>
        <v>0</v>
      </c>
      <c r="G31" s="20">
        <f t="shared" si="1"/>
        <v>0</v>
      </c>
      <c r="H31" s="20">
        <f t="shared" si="1"/>
        <v>0</v>
      </c>
      <c r="I31" s="20">
        <f t="shared" si="1"/>
        <v>0</v>
      </c>
      <c r="J31" s="20">
        <f t="shared" si="1"/>
        <v>6.82</v>
      </c>
      <c r="K31" s="20">
        <f t="shared" si="1"/>
        <v>76</v>
      </c>
      <c r="L31" s="20">
        <f t="shared" si="1"/>
        <v>0</v>
      </c>
      <c r="M31" s="20">
        <f t="shared" si="1"/>
        <v>0</v>
      </c>
      <c r="N31" s="20">
        <f t="shared" si="1"/>
        <v>0</v>
      </c>
      <c r="O31" s="20">
        <f t="shared" si="1"/>
        <v>0</v>
      </c>
      <c r="P31" s="24">
        <f>SUM(P12:P30)</f>
        <v>8489.77</v>
      </c>
      <c r="S31" s="45"/>
    </row>
    <row r="32" spans="1:19" ht="12.75" customHeight="1" x14ac:dyDescent="0.2">
      <c r="A32" s="25"/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57" t="s">
        <v>32</v>
      </c>
      <c r="M32" s="57"/>
      <c r="N32" s="57"/>
      <c r="O32" s="57"/>
      <c r="P32" s="57"/>
    </row>
    <row r="33" spans="1:16" ht="24" customHeight="1" x14ac:dyDescent="0.2">
      <c r="A33" s="25"/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7"/>
    </row>
    <row r="34" spans="1:16" ht="24" customHeight="1" x14ac:dyDescent="0.2">
      <c r="A34" s="25"/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7"/>
    </row>
  </sheetData>
  <mergeCells count="18">
    <mergeCell ref="O9:O11"/>
    <mergeCell ref="P9:P11"/>
    <mergeCell ref="L32:P32"/>
    <mergeCell ref="J9:J11"/>
    <mergeCell ref="K9:K11"/>
    <mergeCell ref="L9:L11"/>
    <mergeCell ref="M9:M11"/>
    <mergeCell ref="N9:N11"/>
    <mergeCell ref="E9:E11"/>
    <mergeCell ref="F9:F11"/>
    <mergeCell ref="G9:G11"/>
    <mergeCell ref="H9:H11"/>
    <mergeCell ref="I9:I11"/>
    <mergeCell ref="A7:B7"/>
    <mergeCell ref="A9:A11"/>
    <mergeCell ref="B9:B11"/>
    <mergeCell ref="C9:C11"/>
    <mergeCell ref="D9:D11"/>
  </mergeCells>
  <printOptions horizontalCentered="1" verticalCentered="1"/>
  <pageMargins left="0.51181102362204722" right="0.51181102362204722" top="0.78740157480314965" bottom="0.78740157480314965" header="0.51181102362204722" footer="0.51181102362204722"/>
  <pageSetup paperSize="9" scale="80" fitToWidth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T27"/>
  <sheetViews>
    <sheetView topLeftCell="A4" zoomScaleNormal="100" workbookViewId="0">
      <pane xSplit="1" ySplit="8" topLeftCell="B12" activePane="bottomRight" state="frozen"/>
      <selection activeCell="A4" sqref="A4"/>
      <selection pane="topRight" activeCell="B4" sqref="B4"/>
      <selection pane="bottomLeft" activeCell="A25" sqref="A25"/>
      <selection pane="bottomRight" activeCell="P21" sqref="P21"/>
    </sheetView>
  </sheetViews>
  <sheetFormatPr defaultColWidth="9.140625" defaultRowHeight="11.25" x14ac:dyDescent="0.2"/>
  <cols>
    <col min="1" max="1" width="8.85546875" style="2" customWidth="1"/>
    <col min="2" max="3" width="8.42578125" style="2" customWidth="1"/>
    <col min="4" max="5" width="8.85546875" style="2" customWidth="1"/>
    <col min="6" max="6" width="8.5703125" style="2" customWidth="1"/>
    <col min="7" max="7" width="6.42578125" style="2" customWidth="1"/>
    <col min="8" max="9" width="8" style="2" customWidth="1"/>
    <col min="10" max="10" width="8.7109375" style="2" customWidth="1"/>
    <col min="11" max="11" width="7.5703125" style="2" customWidth="1"/>
    <col min="12" max="12" width="8" style="2" customWidth="1"/>
    <col min="13" max="13" width="7.85546875" style="2" customWidth="1"/>
    <col min="14" max="14" width="7.7109375" style="2" customWidth="1"/>
    <col min="15" max="15" width="9.140625" style="2"/>
    <col min="16" max="16" width="8.7109375" style="2" customWidth="1"/>
    <col min="17" max="17" width="9.5703125" style="2" customWidth="1"/>
    <col min="18" max="16384" width="9.140625" style="2"/>
  </cols>
  <sheetData>
    <row r="2" spans="1:17" x14ac:dyDescent="0.2">
      <c r="A2" s="2" t="s">
        <v>15</v>
      </c>
    </row>
    <row r="5" spans="1:17" ht="12.75" x14ac:dyDescent="0.2">
      <c r="A5" s="44" t="s">
        <v>42</v>
      </c>
    </row>
    <row r="7" spans="1:17" ht="12" x14ac:dyDescent="0.2">
      <c r="A7" s="52">
        <v>44958</v>
      </c>
      <c r="B7" s="52"/>
      <c r="D7" s="14"/>
      <c r="E7" s="14"/>
      <c r="F7" s="14"/>
      <c r="G7" s="14"/>
      <c r="H7" s="14"/>
    </row>
    <row r="9" spans="1:17" ht="15" customHeight="1" x14ac:dyDescent="0.2">
      <c r="A9" s="53"/>
      <c r="B9" s="54" t="s">
        <v>30</v>
      </c>
      <c r="C9" s="54" t="s">
        <v>17</v>
      </c>
      <c r="D9" s="54" t="s">
        <v>31</v>
      </c>
      <c r="E9" s="54" t="s">
        <v>19</v>
      </c>
      <c r="F9" s="54" t="s">
        <v>20</v>
      </c>
      <c r="G9" s="54" t="s">
        <v>21</v>
      </c>
      <c r="H9" s="54" t="s">
        <v>22</v>
      </c>
      <c r="I9" s="54" t="s">
        <v>23</v>
      </c>
      <c r="J9" s="54" t="s">
        <v>24</v>
      </c>
      <c r="K9" s="54" t="s">
        <v>25</v>
      </c>
      <c r="L9" s="54" t="s">
        <v>26</v>
      </c>
      <c r="M9" s="55" t="s">
        <v>27</v>
      </c>
      <c r="N9" s="55" t="s">
        <v>28</v>
      </c>
      <c r="O9" s="55" t="s">
        <v>29</v>
      </c>
      <c r="P9" s="56" t="s">
        <v>1</v>
      </c>
    </row>
    <row r="10" spans="1:17" ht="11.25" customHeight="1" x14ac:dyDescent="0.2">
      <c r="A10" s="53"/>
      <c r="B10" s="54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5"/>
      <c r="N10" s="55"/>
      <c r="O10" s="55"/>
      <c r="P10" s="56"/>
    </row>
    <row r="11" spans="1:17" ht="11.25" customHeight="1" x14ac:dyDescent="0.2">
      <c r="A11" s="53"/>
      <c r="B11" s="54"/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5"/>
      <c r="N11" s="55"/>
      <c r="O11" s="55"/>
      <c r="P11" s="56"/>
    </row>
    <row r="12" spans="1:17" ht="23.25" customHeight="1" x14ac:dyDescent="0.2">
      <c r="A12" s="28">
        <v>44958</v>
      </c>
      <c r="B12" s="16">
        <f>124.95+29.4+29.4+124.95+29.4+29.4+29.4+124.95+124.95+29.4+29.4+29.4+29.4+124.95+124.95+124.95+124.95+29.4+124.95+29.4+124.95+124.95+29.4+124.95+29.4+62.48+29.4+29.4+29.4+29.4+124.95</f>
        <v>2186.6300000000006</v>
      </c>
      <c r="C12" s="16">
        <f>3.24+10.64+10.08+14.76+5.4+12.02+27.62</f>
        <v>83.76</v>
      </c>
      <c r="D12" s="16">
        <f>82.1+82.1+173.61+348.92+348.92+123.3+348.92+348.92+173.61+82.1+348.92</f>
        <v>2461.42</v>
      </c>
      <c r="E12" s="16"/>
      <c r="F12" s="16"/>
      <c r="G12" s="16"/>
      <c r="H12" s="16"/>
      <c r="I12" s="16"/>
      <c r="J12" s="16">
        <f>0.62+0.62</f>
        <v>1.24</v>
      </c>
      <c r="K12" s="16">
        <f>38+38</f>
        <v>76</v>
      </c>
      <c r="L12" s="16"/>
      <c r="M12" s="17"/>
      <c r="N12" s="17"/>
      <c r="O12" s="17"/>
      <c r="P12" s="5">
        <f t="shared" ref="P12:P23" si="0">SUM(B12:L12)</f>
        <v>4809.0500000000011</v>
      </c>
      <c r="Q12" s="29"/>
    </row>
    <row r="13" spans="1:17" ht="24" customHeight="1" x14ac:dyDescent="0.2">
      <c r="A13" s="30">
        <v>44959</v>
      </c>
      <c r="B13" s="16">
        <f>29.4+29.4+29.4</f>
        <v>88.199999999999989</v>
      </c>
      <c r="C13" s="16"/>
      <c r="D13" s="16"/>
      <c r="E13" s="16"/>
      <c r="F13" s="16"/>
      <c r="G13" s="16"/>
      <c r="H13" s="16"/>
      <c r="I13" s="16"/>
      <c r="J13" s="16"/>
      <c r="K13" s="16">
        <v>38</v>
      </c>
      <c r="L13" s="16"/>
      <c r="M13" s="17"/>
      <c r="N13" s="17"/>
      <c r="O13" s="17"/>
      <c r="P13" s="5">
        <f t="shared" si="0"/>
        <v>126.19999999999999</v>
      </c>
      <c r="Q13" s="29"/>
    </row>
    <row r="14" spans="1:17" ht="24" customHeight="1" x14ac:dyDescent="0.2">
      <c r="A14" s="28">
        <v>44960</v>
      </c>
      <c r="B14" s="18"/>
      <c r="C14" s="18"/>
      <c r="D14" s="18">
        <v>369.45</v>
      </c>
      <c r="E14" s="18"/>
      <c r="F14" s="18"/>
      <c r="G14" s="18"/>
      <c r="H14" s="18"/>
      <c r="I14" s="18"/>
      <c r="J14" s="18"/>
      <c r="K14" s="18"/>
      <c r="L14" s="18"/>
      <c r="M14" s="17"/>
      <c r="N14" s="17"/>
      <c r="O14" s="17"/>
      <c r="P14" s="5">
        <f t="shared" si="0"/>
        <v>369.45</v>
      </c>
      <c r="Q14" s="29"/>
    </row>
    <row r="15" spans="1:17" ht="24" customHeight="1" x14ac:dyDescent="0.2">
      <c r="A15" s="30">
        <v>44963</v>
      </c>
      <c r="B15" s="18">
        <f>36.75</f>
        <v>36.75</v>
      </c>
      <c r="C15" s="18">
        <f>40.13</f>
        <v>40.130000000000003</v>
      </c>
      <c r="D15" s="18"/>
      <c r="E15" s="18"/>
      <c r="F15" s="18"/>
      <c r="G15" s="18"/>
      <c r="H15" s="18"/>
      <c r="I15" s="18"/>
      <c r="J15" s="18">
        <f>0.62</f>
        <v>0.62</v>
      </c>
      <c r="K15" s="18"/>
      <c r="L15" s="18"/>
      <c r="M15" s="17"/>
      <c r="N15" s="17"/>
      <c r="O15" s="17"/>
      <c r="P15" s="5">
        <f t="shared" si="0"/>
        <v>77.5</v>
      </c>
      <c r="Q15" s="29"/>
    </row>
    <row r="16" spans="1:17" ht="24" customHeight="1" x14ac:dyDescent="0.2">
      <c r="A16" s="28">
        <v>44966</v>
      </c>
      <c r="B16" s="18"/>
      <c r="C16" s="18">
        <f>26.75</f>
        <v>26.75</v>
      </c>
      <c r="D16" s="18"/>
      <c r="E16" s="18"/>
      <c r="F16" s="18"/>
      <c r="G16" s="18"/>
      <c r="H16" s="18"/>
      <c r="I16" s="18"/>
      <c r="J16" s="18">
        <f>0.62</f>
        <v>0.62</v>
      </c>
      <c r="K16" s="18">
        <v>38</v>
      </c>
      <c r="L16" s="18"/>
      <c r="M16" s="17"/>
      <c r="N16" s="17"/>
      <c r="O16" s="17"/>
      <c r="P16" s="5">
        <f t="shared" si="0"/>
        <v>65.37</v>
      </c>
      <c r="Q16" s="29"/>
    </row>
    <row r="17" spans="1:20" ht="24" customHeight="1" x14ac:dyDescent="0.2">
      <c r="A17" s="30">
        <v>44967</v>
      </c>
      <c r="B17" s="18">
        <f>29.4</f>
        <v>29.4</v>
      </c>
      <c r="C17" s="18">
        <f>53.5+53.5</f>
        <v>107</v>
      </c>
      <c r="D17" s="18"/>
      <c r="E17" s="18"/>
      <c r="F17" s="18"/>
      <c r="G17" s="18"/>
      <c r="H17" s="18"/>
      <c r="I17" s="18"/>
      <c r="J17" s="18">
        <f>0.62+0.62</f>
        <v>1.24</v>
      </c>
      <c r="K17" s="18"/>
      <c r="L17" s="18"/>
      <c r="M17" s="17"/>
      <c r="N17" s="17"/>
      <c r="O17" s="17"/>
      <c r="P17" s="5">
        <f t="shared" si="0"/>
        <v>137.64000000000001</v>
      </c>
      <c r="Q17" s="29"/>
    </row>
    <row r="18" spans="1:20" ht="24" customHeight="1" x14ac:dyDescent="0.2">
      <c r="A18" s="28">
        <v>44970</v>
      </c>
      <c r="B18" s="18">
        <f>29.4</f>
        <v>29.4</v>
      </c>
      <c r="C18" s="18"/>
      <c r="D18" s="18"/>
      <c r="E18" s="18"/>
      <c r="F18" s="18"/>
      <c r="G18" s="18"/>
      <c r="H18" s="18"/>
      <c r="I18" s="18"/>
      <c r="J18" s="18"/>
      <c r="K18" s="18">
        <v>28.75</v>
      </c>
      <c r="L18" s="18"/>
      <c r="M18" s="17"/>
      <c r="N18" s="17"/>
      <c r="O18" s="17"/>
      <c r="P18" s="5">
        <f t="shared" si="0"/>
        <v>58.15</v>
      </c>
      <c r="Q18" s="29"/>
    </row>
    <row r="19" spans="1:20" ht="24" customHeight="1" x14ac:dyDescent="0.2">
      <c r="A19" s="30">
        <v>44971</v>
      </c>
      <c r="B19" s="18"/>
      <c r="C19" s="18">
        <f>2.37+6.46+7.5+7.16+9.05+8.26+1.12</f>
        <v>41.919999999999995</v>
      </c>
      <c r="E19" s="18"/>
      <c r="F19" s="18"/>
      <c r="G19" s="18"/>
      <c r="H19" s="18"/>
      <c r="I19" s="18">
        <f>1.8+2.63</f>
        <v>4.43</v>
      </c>
      <c r="J19" s="18">
        <f>0.62</f>
        <v>0.62</v>
      </c>
      <c r="K19" s="18"/>
      <c r="L19" s="18"/>
      <c r="M19" s="17"/>
      <c r="N19" s="17"/>
      <c r="O19" s="17"/>
      <c r="P19" s="5">
        <f t="shared" si="0"/>
        <v>46.969999999999992</v>
      </c>
      <c r="Q19" s="29"/>
    </row>
    <row r="20" spans="1:20" ht="24" customHeight="1" x14ac:dyDescent="0.2">
      <c r="A20" s="28">
        <v>44973</v>
      </c>
      <c r="B20" s="18">
        <f>132.3+29.4</f>
        <v>161.70000000000002</v>
      </c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7"/>
      <c r="N20" s="17"/>
      <c r="O20" s="17"/>
      <c r="P20" s="5">
        <f t="shared" si="0"/>
        <v>161.70000000000002</v>
      </c>
      <c r="Q20" s="29"/>
    </row>
    <row r="21" spans="1:20" ht="24" customHeight="1" x14ac:dyDescent="0.2">
      <c r="A21" s="28">
        <v>44981</v>
      </c>
      <c r="B21" s="18">
        <f>29.4+36.75</f>
        <v>66.150000000000006</v>
      </c>
      <c r="C21" s="18">
        <f>4.95+4.73+6.46+7.38+7.58+7.02+6.22+5.12</f>
        <v>49.46</v>
      </c>
      <c r="D21" s="18">
        <f>369.45</f>
        <v>369.45</v>
      </c>
      <c r="E21" s="18"/>
      <c r="F21" s="18"/>
      <c r="G21" s="18"/>
      <c r="H21" s="18"/>
      <c r="I21" s="18"/>
      <c r="J21" s="18">
        <f>0.62</f>
        <v>0.62</v>
      </c>
      <c r="K21" s="18"/>
      <c r="L21" s="18"/>
      <c r="M21" s="17"/>
      <c r="N21" s="17"/>
      <c r="O21" s="17"/>
      <c r="P21" s="5">
        <f t="shared" si="0"/>
        <v>485.68</v>
      </c>
      <c r="Q21" s="29"/>
    </row>
    <row r="22" spans="1:20" ht="24" customHeight="1" x14ac:dyDescent="0.2">
      <c r="A22" s="28">
        <v>44984</v>
      </c>
      <c r="B22" s="18">
        <v>161.69999999999999</v>
      </c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7"/>
      <c r="N22" s="17"/>
      <c r="O22" s="17"/>
      <c r="P22" s="5">
        <f t="shared" si="0"/>
        <v>161.69999999999999</v>
      </c>
      <c r="Q22" s="29"/>
    </row>
    <row r="23" spans="1:20" ht="24" customHeight="1" x14ac:dyDescent="0.2">
      <c r="A23" s="28">
        <v>44985</v>
      </c>
      <c r="B23" s="18">
        <f>73.5+132.3+29.4+14.7</f>
        <v>249.9</v>
      </c>
      <c r="C23" s="18"/>
      <c r="D23" s="18">
        <v>40.85</v>
      </c>
      <c r="E23" s="18"/>
      <c r="F23" s="18">
        <f>20.5</f>
        <v>20.5</v>
      </c>
      <c r="G23" s="18"/>
      <c r="H23" s="18">
        <f>20.5</f>
        <v>20.5</v>
      </c>
      <c r="I23" s="18"/>
      <c r="J23" s="18"/>
      <c r="K23" s="18"/>
      <c r="L23" s="18"/>
      <c r="M23" s="17"/>
      <c r="N23" s="17"/>
      <c r="O23" s="17"/>
      <c r="P23" s="5">
        <f t="shared" si="0"/>
        <v>331.75</v>
      </c>
      <c r="Q23" s="29"/>
    </row>
    <row r="24" spans="1:20" ht="24" customHeight="1" x14ac:dyDescent="0.2">
      <c r="A24" s="31" t="s">
        <v>2</v>
      </c>
      <c r="B24" s="20">
        <f t="shared" ref="B24:P24" si="1">SUM(B12:B23)</f>
        <v>3009.8300000000004</v>
      </c>
      <c r="C24" s="21">
        <f t="shared" si="1"/>
        <v>349.02</v>
      </c>
      <c r="D24" s="21">
        <f t="shared" si="1"/>
        <v>3241.1699999999996</v>
      </c>
      <c r="E24" s="21">
        <f t="shared" si="1"/>
        <v>0</v>
      </c>
      <c r="F24" s="21">
        <f t="shared" si="1"/>
        <v>20.5</v>
      </c>
      <c r="G24" s="21">
        <f t="shared" si="1"/>
        <v>0</v>
      </c>
      <c r="H24" s="21">
        <f t="shared" si="1"/>
        <v>20.5</v>
      </c>
      <c r="I24" s="21">
        <f t="shared" si="1"/>
        <v>4.43</v>
      </c>
      <c r="J24" s="21">
        <f t="shared" si="1"/>
        <v>4.96</v>
      </c>
      <c r="K24" s="21">
        <f t="shared" si="1"/>
        <v>180.75</v>
      </c>
      <c r="L24" s="21">
        <f t="shared" si="1"/>
        <v>0</v>
      </c>
      <c r="M24" s="21">
        <f t="shared" si="1"/>
        <v>0</v>
      </c>
      <c r="N24" s="21">
        <f t="shared" si="1"/>
        <v>0</v>
      </c>
      <c r="O24" s="21">
        <f t="shared" si="1"/>
        <v>0</v>
      </c>
      <c r="P24" s="24">
        <f t="shared" si="1"/>
        <v>6831.1600000000008</v>
      </c>
      <c r="Q24" s="29"/>
      <c r="T24" s="45"/>
    </row>
    <row r="25" spans="1:20" ht="12.75" customHeight="1" x14ac:dyDescent="0.2">
      <c r="A25" s="25"/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57" t="s">
        <v>33</v>
      </c>
      <c r="M25" s="57"/>
      <c r="N25" s="57"/>
      <c r="O25" s="57"/>
      <c r="P25" s="57"/>
    </row>
    <row r="26" spans="1:20" ht="24" customHeight="1" x14ac:dyDescent="0.2">
      <c r="A26" s="25"/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7"/>
    </row>
    <row r="27" spans="1:20" ht="24" customHeight="1" x14ac:dyDescent="0.2">
      <c r="A27" s="25"/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7"/>
    </row>
  </sheetData>
  <mergeCells count="18">
    <mergeCell ref="O9:O11"/>
    <mergeCell ref="P9:P11"/>
    <mergeCell ref="L25:P25"/>
    <mergeCell ref="J9:J11"/>
    <mergeCell ref="K9:K11"/>
    <mergeCell ref="L9:L11"/>
    <mergeCell ref="M9:M11"/>
    <mergeCell ref="N9:N11"/>
    <mergeCell ref="E9:E11"/>
    <mergeCell ref="F9:F11"/>
    <mergeCell ref="G9:G11"/>
    <mergeCell ref="H9:H11"/>
    <mergeCell ref="I9:I11"/>
    <mergeCell ref="A7:B7"/>
    <mergeCell ref="A9:A11"/>
    <mergeCell ref="B9:B11"/>
    <mergeCell ref="C9:C11"/>
    <mergeCell ref="D9:D11"/>
  </mergeCells>
  <pageMargins left="0.51180555555555596" right="0.51180555555555596" top="0.39374999999999999" bottom="0.39374999999999999" header="0.511811023622047" footer="0.511811023622047"/>
  <pageSetup paperSize="9" fitToHeight="0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P35"/>
  <sheetViews>
    <sheetView topLeftCell="A4" zoomScaleNormal="100" workbookViewId="0">
      <pane xSplit="1" ySplit="8" topLeftCell="B12" activePane="bottomRight" state="frozen"/>
      <selection activeCell="A4" sqref="A4"/>
      <selection pane="topRight" activeCell="B4" sqref="B4"/>
      <selection pane="bottomLeft" activeCell="A25" sqref="A25"/>
      <selection pane="bottomRight"/>
    </sheetView>
  </sheetViews>
  <sheetFormatPr defaultColWidth="9.140625" defaultRowHeight="11.25" x14ac:dyDescent="0.2"/>
  <cols>
    <col min="1" max="1" width="8.85546875" style="2" customWidth="1"/>
    <col min="2" max="2" width="7.85546875" style="2" customWidth="1"/>
    <col min="3" max="3" width="8.42578125" style="2" customWidth="1"/>
    <col min="4" max="4" width="7.5703125" style="2" customWidth="1"/>
    <col min="5" max="5" width="8.85546875" style="2" customWidth="1"/>
    <col min="6" max="6" width="8.5703125" style="2" customWidth="1"/>
    <col min="7" max="7" width="6.42578125" style="2" customWidth="1"/>
    <col min="8" max="9" width="8" style="2" customWidth="1"/>
    <col min="10" max="10" width="8.7109375" style="2" customWidth="1"/>
    <col min="11" max="11" width="7.5703125" style="2" customWidth="1"/>
    <col min="12" max="12" width="8" style="2" customWidth="1"/>
    <col min="13" max="13" width="7.85546875" style="2" customWidth="1"/>
    <col min="14" max="14" width="7.7109375" style="2" customWidth="1"/>
    <col min="15" max="15" width="9.140625" style="2"/>
    <col min="16" max="16" width="8.7109375" style="2" customWidth="1"/>
    <col min="17" max="16384" width="9.140625" style="2"/>
  </cols>
  <sheetData>
    <row r="5" spans="1:16" ht="12.75" x14ac:dyDescent="0.2">
      <c r="A5" s="44" t="s">
        <v>42</v>
      </c>
    </row>
    <row r="7" spans="1:16" ht="12" x14ac:dyDescent="0.2">
      <c r="A7" s="52">
        <v>44986</v>
      </c>
      <c r="B7" s="52"/>
      <c r="D7" s="14"/>
      <c r="E7" s="14"/>
      <c r="F7" s="14"/>
      <c r="G7" s="14"/>
      <c r="H7" s="14"/>
    </row>
    <row r="9" spans="1:16" ht="15" customHeight="1" x14ac:dyDescent="0.2">
      <c r="A9" s="53"/>
      <c r="B9" s="54" t="s">
        <v>30</v>
      </c>
      <c r="C9" s="54" t="s">
        <v>17</v>
      </c>
      <c r="D9" s="54" t="s">
        <v>31</v>
      </c>
      <c r="E9" s="54" t="s">
        <v>19</v>
      </c>
      <c r="F9" s="54" t="s">
        <v>20</v>
      </c>
      <c r="G9" s="54" t="s">
        <v>21</v>
      </c>
      <c r="H9" s="54" t="s">
        <v>22</v>
      </c>
      <c r="I9" s="54" t="s">
        <v>23</v>
      </c>
      <c r="J9" s="54" t="s">
        <v>24</v>
      </c>
      <c r="K9" s="54" t="s">
        <v>25</v>
      </c>
      <c r="L9" s="54" t="s">
        <v>26</v>
      </c>
      <c r="M9" s="55" t="s">
        <v>27</v>
      </c>
      <c r="N9" s="55" t="s">
        <v>28</v>
      </c>
      <c r="O9" s="55" t="s">
        <v>29</v>
      </c>
      <c r="P9" s="56" t="s">
        <v>1</v>
      </c>
    </row>
    <row r="10" spans="1:16" ht="11.25" customHeight="1" x14ac:dyDescent="0.2">
      <c r="A10" s="53"/>
      <c r="B10" s="54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5"/>
      <c r="N10" s="55"/>
      <c r="O10" s="55"/>
      <c r="P10" s="56"/>
    </row>
    <row r="11" spans="1:16" ht="11.25" customHeight="1" x14ac:dyDescent="0.2">
      <c r="A11" s="53"/>
      <c r="B11" s="54"/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5"/>
      <c r="N11" s="55"/>
      <c r="O11" s="55"/>
      <c r="P11" s="56"/>
    </row>
    <row r="12" spans="1:16" ht="23.25" customHeight="1" x14ac:dyDescent="0.2">
      <c r="A12" s="15">
        <v>44986</v>
      </c>
      <c r="B12" s="16">
        <f>29.4+29.4+29.4+29.4+36.75+29.4+36.75+36.75+29.4+29.4+29.4+29.4+36.75+14.7+132.3+29.4+29.4+132.3+36.75+29.4+132.3+12.25+29.4+36.75+29.4+29.4+29.4+29.4</f>
        <v>1144.1500000000001</v>
      </c>
      <c r="C12" s="16">
        <f>14.87+13.62+15.22+16.08+16.36+1.12+8.26+9.05+2.37+7.16+6.46+7.5+3.26+12.11+5.44+14.87+10.14+10.71+27.8+11.81</f>
        <v>214.21</v>
      </c>
      <c r="D12" s="16">
        <f>82.1+82.1+1106.78+17.1+123.3+40.85+82.1+82.1</f>
        <v>1616.4299999999996</v>
      </c>
      <c r="E12" s="16">
        <f>17.09+19.98+22.92+12.61+24.52+22.02+19.98+17.09</f>
        <v>156.20999999999998</v>
      </c>
      <c r="F12" s="16"/>
      <c r="G12" s="16"/>
      <c r="H12" s="16"/>
      <c r="I12" s="16">
        <f>2.64+1.8+0.56</f>
        <v>5</v>
      </c>
      <c r="J12" s="16">
        <f>0.62+0.62+0.62+0.62+0.62+0.62+0.62+0.62</f>
        <v>4.96</v>
      </c>
      <c r="K12" s="16">
        <f>28.75</f>
        <v>28.75</v>
      </c>
      <c r="L12" s="16"/>
      <c r="M12" s="17"/>
      <c r="N12" s="17"/>
      <c r="O12" s="17"/>
      <c r="P12" s="5">
        <f>SUM(B12:L12)</f>
        <v>3169.71</v>
      </c>
    </row>
    <row r="13" spans="1:16" ht="24" customHeight="1" x14ac:dyDescent="0.2">
      <c r="A13" s="15">
        <v>44987</v>
      </c>
      <c r="B13" s="16">
        <f>29.4+29.4</f>
        <v>58.8</v>
      </c>
      <c r="C13" s="16"/>
      <c r="D13" s="16">
        <f>40.85</f>
        <v>40.85</v>
      </c>
      <c r="E13" s="16"/>
      <c r="F13" s="16"/>
      <c r="G13" s="16"/>
      <c r="H13" s="16"/>
      <c r="I13" s="16"/>
      <c r="J13" s="16"/>
      <c r="K13" s="16"/>
      <c r="L13" s="16"/>
      <c r="M13" s="17"/>
      <c r="N13" s="17"/>
      <c r="O13" s="17"/>
      <c r="P13" s="5">
        <f t="shared" ref="P13:P31" si="0">SUM(B13:L13)</f>
        <v>99.65</v>
      </c>
    </row>
    <row r="14" spans="1:16" ht="24" customHeight="1" x14ac:dyDescent="0.2">
      <c r="A14" s="15">
        <v>44988</v>
      </c>
      <c r="B14" s="18">
        <f>29.4+29.4+29.4+36.75+29.4</f>
        <v>154.35</v>
      </c>
      <c r="C14" s="18">
        <f>40.68</f>
        <v>40.68</v>
      </c>
      <c r="D14" s="18"/>
      <c r="E14" s="18"/>
      <c r="F14" s="18"/>
      <c r="G14" s="18"/>
      <c r="H14" s="18"/>
      <c r="I14" s="18"/>
      <c r="J14" s="18">
        <v>0.62</v>
      </c>
      <c r="K14" s="18"/>
      <c r="L14" s="18"/>
      <c r="M14" s="17"/>
      <c r="N14" s="17"/>
      <c r="O14" s="17"/>
      <c r="P14" s="5">
        <f t="shared" si="0"/>
        <v>195.65</v>
      </c>
    </row>
    <row r="15" spans="1:16" ht="24" customHeight="1" x14ac:dyDescent="0.2">
      <c r="A15" s="15">
        <v>44991</v>
      </c>
      <c r="B15" s="18">
        <f>29.4+29.4</f>
        <v>58.8</v>
      </c>
      <c r="C15" s="18">
        <f>7.49+33.41+11.86+24.41</f>
        <v>77.17</v>
      </c>
      <c r="D15" s="18">
        <f>410.5</f>
        <v>410.5</v>
      </c>
      <c r="E15" s="18"/>
      <c r="F15" s="18"/>
      <c r="G15" s="18">
        <f>61.75</f>
        <v>61.75</v>
      </c>
      <c r="H15" s="18"/>
      <c r="I15" s="18"/>
      <c r="J15" s="18">
        <f>0.62</f>
        <v>0.62</v>
      </c>
      <c r="K15" s="18">
        <f>38</f>
        <v>38</v>
      </c>
      <c r="L15" s="18"/>
      <c r="M15" s="17"/>
      <c r="N15" s="17"/>
      <c r="O15" s="17"/>
      <c r="P15" s="5">
        <f t="shared" si="0"/>
        <v>646.84</v>
      </c>
    </row>
    <row r="16" spans="1:16" ht="24" customHeight="1" x14ac:dyDescent="0.2">
      <c r="A16" s="15">
        <v>44993</v>
      </c>
      <c r="B16" s="18">
        <f>139.65+29.4</f>
        <v>169.05</v>
      </c>
      <c r="C16" s="18">
        <f>27.11</f>
        <v>27.11</v>
      </c>
      <c r="D16" s="18"/>
      <c r="E16" s="18"/>
      <c r="F16" s="18"/>
      <c r="G16" s="18"/>
      <c r="H16" s="18"/>
      <c r="I16" s="18"/>
      <c r="J16" s="18">
        <v>0.62</v>
      </c>
      <c r="K16" s="18"/>
      <c r="L16" s="18"/>
      <c r="M16" s="17"/>
      <c r="N16" s="17"/>
      <c r="O16" s="17"/>
      <c r="P16" s="5">
        <f t="shared" si="0"/>
        <v>196.78000000000003</v>
      </c>
    </row>
    <row r="17" spans="1:16" ht="24" customHeight="1" x14ac:dyDescent="0.2">
      <c r="A17" s="15">
        <v>44998</v>
      </c>
      <c r="B17" s="18">
        <f>73.5+73.5</f>
        <v>147</v>
      </c>
      <c r="C17" s="18"/>
      <c r="D17" s="18">
        <f>136.83</f>
        <v>136.83000000000001</v>
      </c>
      <c r="E17" s="18"/>
      <c r="F17" s="18">
        <f>20.5+20.5</f>
        <v>41</v>
      </c>
      <c r="G17" s="18"/>
      <c r="H17" s="18">
        <f>20.5+20.5</f>
        <v>41</v>
      </c>
      <c r="I17" s="18"/>
      <c r="J17" s="18"/>
      <c r="K17" s="18"/>
      <c r="L17" s="18"/>
      <c r="M17" s="17"/>
      <c r="N17" s="17"/>
      <c r="O17" s="17"/>
      <c r="P17" s="5">
        <f t="shared" si="0"/>
        <v>365.83000000000004</v>
      </c>
    </row>
    <row r="18" spans="1:16" ht="24" customHeight="1" x14ac:dyDescent="0.2">
      <c r="A18" s="15">
        <v>44999</v>
      </c>
      <c r="B18" s="18">
        <f>73.5</f>
        <v>73.5</v>
      </c>
      <c r="C18" s="18">
        <f>4.98+4.77+6.51+7.43+7.64+7.09+6.29+5.18</f>
        <v>49.89</v>
      </c>
      <c r="D18" s="18"/>
      <c r="E18" s="18"/>
      <c r="F18" s="18">
        <f>20.5</f>
        <v>20.5</v>
      </c>
      <c r="G18" s="18"/>
      <c r="H18" s="18">
        <f>20.5</f>
        <v>20.5</v>
      </c>
      <c r="I18" s="18"/>
      <c r="J18" s="18">
        <f>0.62</f>
        <v>0.62</v>
      </c>
      <c r="K18" s="18"/>
      <c r="L18" s="18"/>
      <c r="M18" s="17"/>
      <c r="N18" s="17"/>
      <c r="O18" s="17"/>
      <c r="P18" s="5">
        <f t="shared" si="0"/>
        <v>165.01</v>
      </c>
    </row>
    <row r="19" spans="1:16" ht="24" customHeight="1" x14ac:dyDescent="0.2">
      <c r="A19" s="15">
        <v>45000</v>
      </c>
      <c r="B19" s="18"/>
      <c r="C19" s="18"/>
      <c r="D19" s="18"/>
      <c r="E19" s="18"/>
      <c r="F19" s="18">
        <f>20.5+20.5+20.5</f>
        <v>61.5</v>
      </c>
      <c r="G19" s="18"/>
      <c r="H19" s="18"/>
      <c r="I19" s="18"/>
      <c r="J19" s="18"/>
      <c r="K19" s="18"/>
      <c r="L19" s="18"/>
      <c r="M19" s="17"/>
      <c r="N19" s="17"/>
      <c r="O19" s="17"/>
      <c r="P19" s="5">
        <f t="shared" si="0"/>
        <v>61.5</v>
      </c>
    </row>
    <row r="20" spans="1:16" ht="24" customHeight="1" x14ac:dyDescent="0.2">
      <c r="A20" s="15">
        <v>45001</v>
      </c>
      <c r="B20" s="18"/>
      <c r="C20" s="18">
        <f>21.92</f>
        <v>21.92</v>
      </c>
      <c r="D20" s="18"/>
      <c r="E20" s="18"/>
      <c r="F20" s="18">
        <f>20.5</f>
        <v>20.5</v>
      </c>
      <c r="G20" s="18"/>
      <c r="H20" s="18"/>
      <c r="I20" s="18"/>
      <c r="J20" s="18"/>
      <c r="K20" s="18"/>
      <c r="L20" s="18"/>
      <c r="M20" s="17"/>
      <c r="N20" s="17"/>
      <c r="O20" s="17"/>
      <c r="P20" s="5">
        <f t="shared" si="0"/>
        <v>42.42</v>
      </c>
    </row>
    <row r="21" spans="1:16" ht="24" customHeight="1" x14ac:dyDescent="0.2">
      <c r="A21" s="15">
        <v>45002</v>
      </c>
      <c r="B21" s="18">
        <f>73.5+10.69</f>
        <v>84.19</v>
      </c>
      <c r="C21" s="18">
        <f>5.83+8.62+7.58</f>
        <v>22.03</v>
      </c>
      <c r="D21" s="18">
        <f>204.25</f>
        <v>204.25</v>
      </c>
      <c r="E21" s="18"/>
      <c r="F21" s="18">
        <f>20.5</f>
        <v>20.5</v>
      </c>
      <c r="G21" s="18">
        <v>61.75</v>
      </c>
      <c r="H21" s="18">
        <f>20.5</f>
        <v>20.5</v>
      </c>
      <c r="I21" s="18"/>
      <c r="J21" s="18">
        <f>0.62</f>
        <v>0.62</v>
      </c>
      <c r="K21" s="18"/>
      <c r="L21" s="18"/>
      <c r="M21" s="17"/>
      <c r="N21" s="17"/>
      <c r="O21" s="17"/>
      <c r="P21" s="5">
        <f t="shared" si="0"/>
        <v>413.84000000000003</v>
      </c>
    </row>
    <row r="22" spans="1:16" ht="24" customHeight="1" x14ac:dyDescent="0.2">
      <c r="A22" s="15">
        <v>45005</v>
      </c>
      <c r="B22" s="18">
        <f>73.5</f>
        <v>73.5</v>
      </c>
      <c r="C22" s="18"/>
      <c r="D22" s="18">
        <f>410.5</f>
        <v>410.5</v>
      </c>
      <c r="E22" s="18"/>
      <c r="F22" s="18">
        <v>20.5</v>
      </c>
      <c r="G22" s="18">
        <f>61.75</f>
        <v>61.75</v>
      </c>
      <c r="H22" s="18">
        <v>20.5</v>
      </c>
      <c r="I22" s="18"/>
      <c r="J22" s="18"/>
      <c r="K22" s="18">
        <f>38</f>
        <v>38</v>
      </c>
      <c r="L22" s="18"/>
      <c r="M22" s="17"/>
      <c r="N22" s="17"/>
      <c r="O22" s="17"/>
      <c r="P22" s="5">
        <f t="shared" si="0"/>
        <v>624.75</v>
      </c>
    </row>
    <row r="23" spans="1:16" ht="24" customHeight="1" x14ac:dyDescent="0.2">
      <c r="A23" s="15">
        <v>45006</v>
      </c>
      <c r="B23" s="18">
        <f>36.75+29.4</f>
        <v>66.150000000000006</v>
      </c>
      <c r="C23" s="18"/>
      <c r="D23" s="18"/>
      <c r="E23" s="18"/>
      <c r="F23" s="18">
        <f>20.5</f>
        <v>20.5</v>
      </c>
      <c r="G23" s="18"/>
      <c r="H23" s="18"/>
      <c r="I23" s="18"/>
      <c r="J23" s="18">
        <f>0.62</f>
        <v>0.62</v>
      </c>
      <c r="K23" s="18"/>
      <c r="L23" s="18"/>
      <c r="M23" s="17"/>
      <c r="N23" s="17"/>
      <c r="O23" s="17"/>
      <c r="P23" s="5">
        <f t="shared" si="0"/>
        <v>87.27000000000001</v>
      </c>
    </row>
    <row r="24" spans="1:16" ht="24" customHeight="1" x14ac:dyDescent="0.2">
      <c r="A24" s="15">
        <v>45007</v>
      </c>
      <c r="B24" s="18">
        <f>12.25</f>
        <v>12.25</v>
      </c>
      <c r="C24" s="18">
        <f>11.9</f>
        <v>11.9</v>
      </c>
      <c r="D24" s="18"/>
      <c r="E24" s="18"/>
      <c r="F24" s="18"/>
      <c r="G24" s="18"/>
      <c r="H24" s="18"/>
      <c r="I24" s="18">
        <f>0.56</f>
        <v>0.56000000000000005</v>
      </c>
      <c r="J24" s="18">
        <f>0.62</f>
        <v>0.62</v>
      </c>
      <c r="K24" s="18"/>
      <c r="L24" s="18"/>
      <c r="M24" s="17"/>
      <c r="N24" s="17"/>
      <c r="O24" s="17"/>
      <c r="P24" s="5">
        <f t="shared" si="0"/>
        <v>25.33</v>
      </c>
    </row>
    <row r="25" spans="1:16" ht="24" customHeight="1" x14ac:dyDescent="0.2">
      <c r="A25" s="15">
        <v>45008</v>
      </c>
      <c r="B25" s="18">
        <f>139.65</f>
        <v>139.65</v>
      </c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7"/>
      <c r="N25" s="17"/>
      <c r="O25" s="17"/>
      <c r="P25" s="5">
        <f t="shared" si="0"/>
        <v>139.65</v>
      </c>
    </row>
    <row r="26" spans="1:16" ht="24" customHeight="1" x14ac:dyDescent="0.2">
      <c r="A26" s="15">
        <v>45009</v>
      </c>
      <c r="B26" s="18"/>
      <c r="C26" s="18">
        <f>2.38+6.5+7.55+7.22+9.12+8.34+1.13</f>
        <v>42.24</v>
      </c>
      <c r="D26" s="18"/>
      <c r="E26" s="18"/>
      <c r="F26" s="18"/>
      <c r="G26" s="18"/>
      <c r="H26" s="18"/>
      <c r="I26" s="18">
        <f>1.81+2.65</f>
        <v>4.46</v>
      </c>
      <c r="J26" s="18">
        <f>0.62</f>
        <v>0.62</v>
      </c>
      <c r="K26" s="18">
        <f>38</f>
        <v>38</v>
      </c>
      <c r="L26" s="18"/>
      <c r="M26" s="17"/>
      <c r="N26" s="17"/>
      <c r="O26" s="17"/>
      <c r="P26" s="5">
        <f t="shared" si="0"/>
        <v>85.32</v>
      </c>
    </row>
    <row r="27" spans="1:16" ht="24" customHeight="1" x14ac:dyDescent="0.2">
      <c r="A27" s="15">
        <v>45012</v>
      </c>
      <c r="B27" s="18">
        <f>29.4+29.4</f>
        <v>58.8</v>
      </c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7"/>
      <c r="N27" s="17"/>
      <c r="O27" s="17"/>
      <c r="P27" s="5">
        <f t="shared" si="0"/>
        <v>58.8</v>
      </c>
    </row>
    <row r="28" spans="1:16" ht="24" customHeight="1" x14ac:dyDescent="0.2">
      <c r="A28" s="15">
        <v>45013</v>
      </c>
      <c r="B28" s="18">
        <f>29.4+139.65+139.65+14.7</f>
        <v>323.40000000000003</v>
      </c>
      <c r="C28" s="18">
        <f>137.93</f>
        <v>137.93</v>
      </c>
      <c r="D28" s="18"/>
      <c r="E28" s="18"/>
      <c r="F28" s="18"/>
      <c r="G28" s="18"/>
      <c r="H28" s="18"/>
      <c r="I28" s="18"/>
      <c r="J28" s="18">
        <f>0.62</f>
        <v>0.62</v>
      </c>
      <c r="K28" s="18">
        <f>38</f>
        <v>38</v>
      </c>
      <c r="L28" s="18"/>
      <c r="M28" s="17"/>
      <c r="N28" s="17"/>
      <c r="O28" s="17"/>
      <c r="P28" s="5">
        <f t="shared" si="0"/>
        <v>499.95000000000005</v>
      </c>
    </row>
    <row r="29" spans="1:16" ht="24" customHeight="1" x14ac:dyDescent="0.2">
      <c r="A29" s="15">
        <v>45014</v>
      </c>
      <c r="B29" s="18">
        <f>139.65+36.75+5.11</f>
        <v>181.51000000000002</v>
      </c>
      <c r="C29" s="2">
        <f>1.32+5.82+2.07+4.26</f>
        <v>13.47</v>
      </c>
      <c r="D29" s="18">
        <f>17.1+82.1</f>
        <v>99.199999999999989</v>
      </c>
      <c r="E29" s="18">
        <f>17.26+20.15+12.7+24.7+23.1+22.2+20.15+17.26</f>
        <v>157.51999999999998</v>
      </c>
      <c r="F29" s="18"/>
      <c r="G29" s="18"/>
      <c r="H29" s="18"/>
      <c r="I29" s="18"/>
      <c r="J29" s="18">
        <f>0.62+0.62+0.62</f>
        <v>1.8599999999999999</v>
      </c>
      <c r="K29" s="18"/>
      <c r="L29" s="18"/>
      <c r="M29" s="17"/>
      <c r="N29" s="17"/>
      <c r="O29" s="17"/>
      <c r="P29" s="5">
        <f>SUM(B29:L29)</f>
        <v>453.56</v>
      </c>
    </row>
    <row r="30" spans="1:16" ht="24" customHeight="1" x14ac:dyDescent="0.2">
      <c r="A30" s="15">
        <v>45015</v>
      </c>
      <c r="B30" s="18">
        <f>29.4+29.4</f>
        <v>58.8</v>
      </c>
      <c r="C30" s="18"/>
      <c r="D30" s="18"/>
      <c r="E30" s="18"/>
      <c r="F30" s="18"/>
      <c r="G30" s="18"/>
      <c r="H30" s="18"/>
      <c r="I30" s="18"/>
      <c r="J30" s="18"/>
      <c r="K30" s="18">
        <v>38</v>
      </c>
      <c r="L30" s="18"/>
      <c r="M30" s="17"/>
      <c r="N30" s="17"/>
      <c r="O30" s="17"/>
      <c r="P30" s="5">
        <f t="shared" si="0"/>
        <v>96.8</v>
      </c>
    </row>
    <row r="31" spans="1:16" ht="24" customHeight="1" x14ac:dyDescent="0.2">
      <c r="A31" s="15">
        <v>45016</v>
      </c>
      <c r="B31" s="18">
        <f>29.4+29.4+29.4+29.4+29.4+139.65+29.4+29.4+29.4</f>
        <v>374.84999999999991</v>
      </c>
      <c r="C31" s="18"/>
      <c r="D31" s="18">
        <f>389.98+40.85</f>
        <v>430.83000000000004</v>
      </c>
      <c r="E31" s="18"/>
      <c r="F31" s="18"/>
      <c r="G31" s="18"/>
      <c r="H31" s="18"/>
      <c r="I31" s="18"/>
      <c r="J31" s="18"/>
      <c r="K31" s="18">
        <f>38</f>
        <v>38</v>
      </c>
      <c r="L31" s="18"/>
      <c r="M31" s="17"/>
      <c r="N31" s="17"/>
      <c r="O31" s="17"/>
      <c r="P31" s="5">
        <f t="shared" si="0"/>
        <v>843.68</v>
      </c>
    </row>
    <row r="32" spans="1:16" ht="24" customHeight="1" x14ac:dyDescent="0.2">
      <c r="A32" s="31" t="s">
        <v>2</v>
      </c>
      <c r="B32" s="20">
        <f>SUM(B12:B31)</f>
        <v>3178.7500000000005</v>
      </c>
      <c r="C32" s="20">
        <f t="shared" ref="C32:F32" si="1">SUM(C12:C31)</f>
        <v>658.55</v>
      </c>
      <c r="D32" s="20">
        <f t="shared" si="1"/>
        <v>3349.3899999999994</v>
      </c>
      <c r="E32" s="20">
        <f t="shared" si="1"/>
        <v>313.72999999999996</v>
      </c>
      <c r="F32" s="20">
        <f t="shared" si="1"/>
        <v>205</v>
      </c>
      <c r="G32" s="20">
        <f t="shared" ref="G32" si="2">SUM(G12:G31)</f>
        <v>185.25</v>
      </c>
      <c r="H32" s="20">
        <f t="shared" ref="H32" si="3">SUM(H12:H31)</f>
        <v>102.5</v>
      </c>
      <c r="I32" s="20">
        <f t="shared" ref="I32:J32" si="4">SUM(I12:I31)</f>
        <v>10.02</v>
      </c>
      <c r="J32" s="20">
        <f t="shared" si="4"/>
        <v>12.399999999999997</v>
      </c>
      <c r="K32" s="20">
        <f t="shared" ref="K32" si="5">SUM(K12:K31)</f>
        <v>256.75</v>
      </c>
      <c r="L32" s="20">
        <f t="shared" ref="L32:O32" si="6">SUM(L12:L31)</f>
        <v>0</v>
      </c>
      <c r="M32" s="20">
        <f t="shared" si="6"/>
        <v>0</v>
      </c>
      <c r="N32" s="20">
        <f t="shared" si="6"/>
        <v>0</v>
      </c>
      <c r="O32" s="20">
        <f t="shared" si="6"/>
        <v>0</v>
      </c>
      <c r="P32" s="20">
        <f>SUM(P12:P31)</f>
        <v>8272.34</v>
      </c>
    </row>
    <row r="33" spans="1:16" ht="12" customHeight="1" x14ac:dyDescent="0.2">
      <c r="A33" s="25"/>
      <c r="B33" s="32"/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57" t="s">
        <v>35</v>
      </c>
      <c r="N33" s="57"/>
      <c r="O33" s="57"/>
      <c r="P33" s="57"/>
    </row>
    <row r="34" spans="1:16" ht="24" customHeight="1" x14ac:dyDescent="0.2">
      <c r="A34" s="25"/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7"/>
    </row>
    <row r="35" spans="1:16" ht="24" customHeight="1" x14ac:dyDescent="0.2">
      <c r="A35" s="25"/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7"/>
    </row>
  </sheetData>
  <mergeCells count="18">
    <mergeCell ref="O9:O11"/>
    <mergeCell ref="P9:P11"/>
    <mergeCell ref="M33:P33"/>
    <mergeCell ref="J9:J11"/>
    <mergeCell ref="K9:K11"/>
    <mergeCell ref="L9:L11"/>
    <mergeCell ref="M9:M11"/>
    <mergeCell ref="N9:N11"/>
    <mergeCell ref="E9:E11"/>
    <mergeCell ref="F9:F11"/>
    <mergeCell ref="G9:G11"/>
    <mergeCell ref="H9:H11"/>
    <mergeCell ref="I9:I11"/>
    <mergeCell ref="A7:B7"/>
    <mergeCell ref="A9:A11"/>
    <mergeCell ref="B9:B11"/>
    <mergeCell ref="C9:C11"/>
    <mergeCell ref="D9:D11"/>
  </mergeCells>
  <printOptions horizontalCentered="1"/>
  <pageMargins left="0.19685039370078741" right="0.19685039370078741" top="0.19685039370078741" bottom="0.19685039370078741" header="0.51181102362204722" footer="0.51181102362204722"/>
  <pageSetup paperSize="9" scale="85" fitToWidth="0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R30"/>
  <sheetViews>
    <sheetView topLeftCell="A4" zoomScaleNormal="100" workbookViewId="0">
      <pane xSplit="1" ySplit="8" topLeftCell="B12" activePane="bottomRight" state="frozen"/>
      <selection activeCell="A4" sqref="A4"/>
      <selection pane="topRight" activeCell="B4" sqref="B4"/>
      <selection pane="bottomLeft" activeCell="A19" sqref="A19"/>
      <selection pane="bottomRight" activeCell="A2" sqref="A2"/>
    </sheetView>
  </sheetViews>
  <sheetFormatPr defaultColWidth="9.140625" defaultRowHeight="11.25" x14ac:dyDescent="0.2"/>
  <cols>
    <col min="1" max="1" width="8.85546875" style="2" customWidth="1"/>
    <col min="2" max="2" width="7.85546875" style="2" customWidth="1"/>
    <col min="3" max="3" width="8.42578125" style="2" customWidth="1"/>
    <col min="4" max="4" width="7.5703125" style="2" customWidth="1"/>
    <col min="5" max="5" width="8.85546875" style="2" customWidth="1"/>
    <col min="6" max="6" width="8.5703125" style="2" customWidth="1"/>
    <col min="7" max="7" width="6.42578125" style="2" customWidth="1"/>
    <col min="8" max="9" width="8" style="2" customWidth="1"/>
    <col min="10" max="10" width="8.7109375" style="2" customWidth="1"/>
    <col min="11" max="11" width="7.5703125" style="2" customWidth="1"/>
    <col min="12" max="12" width="8" style="2" customWidth="1"/>
    <col min="13" max="13" width="7.85546875" style="2" customWidth="1"/>
    <col min="14" max="14" width="7.7109375" style="2" customWidth="1"/>
    <col min="15" max="15" width="9.140625" style="2"/>
    <col min="16" max="16" width="8.7109375" style="2" customWidth="1"/>
    <col min="17" max="16384" width="9.140625" style="2"/>
  </cols>
  <sheetData>
    <row r="5" spans="1:16" x14ac:dyDescent="0.2">
      <c r="A5" s="2" t="s">
        <v>44</v>
      </c>
    </row>
    <row r="7" spans="1:16" ht="12" x14ac:dyDescent="0.2">
      <c r="A7" s="52">
        <v>45017</v>
      </c>
      <c r="B7" s="52"/>
      <c r="D7" s="14"/>
      <c r="E7" s="14"/>
      <c r="F7" s="14"/>
      <c r="G7" s="14"/>
      <c r="H7" s="14"/>
    </row>
    <row r="9" spans="1:16" ht="15" customHeight="1" x14ac:dyDescent="0.2">
      <c r="A9" s="53"/>
      <c r="B9" s="54" t="s">
        <v>30</v>
      </c>
      <c r="C9" s="54" t="s">
        <v>17</v>
      </c>
      <c r="D9" s="54" t="s">
        <v>31</v>
      </c>
      <c r="E9" s="54" t="s">
        <v>19</v>
      </c>
      <c r="F9" s="54" t="s">
        <v>20</v>
      </c>
      <c r="G9" s="54" t="s">
        <v>21</v>
      </c>
      <c r="H9" s="54" t="s">
        <v>22</v>
      </c>
      <c r="I9" s="54" t="s">
        <v>23</v>
      </c>
      <c r="J9" s="54" t="s">
        <v>24</v>
      </c>
      <c r="K9" s="54" t="s">
        <v>25</v>
      </c>
      <c r="L9" s="54" t="s">
        <v>26</v>
      </c>
      <c r="M9" s="55" t="s">
        <v>27</v>
      </c>
      <c r="N9" s="55" t="s">
        <v>28</v>
      </c>
      <c r="O9" s="55" t="s">
        <v>29</v>
      </c>
      <c r="P9" s="56" t="s">
        <v>1</v>
      </c>
    </row>
    <row r="10" spans="1:16" ht="11.25" customHeight="1" x14ac:dyDescent="0.2">
      <c r="A10" s="53"/>
      <c r="B10" s="54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5"/>
      <c r="N10" s="55"/>
      <c r="O10" s="55"/>
      <c r="P10" s="56"/>
    </row>
    <row r="11" spans="1:16" ht="11.25" customHeight="1" x14ac:dyDescent="0.2">
      <c r="A11" s="53"/>
      <c r="B11" s="54"/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5"/>
      <c r="N11" s="55"/>
      <c r="O11" s="55"/>
      <c r="P11" s="56"/>
    </row>
    <row r="12" spans="1:16" ht="23.25" customHeight="1" x14ac:dyDescent="0.2">
      <c r="A12" s="15">
        <v>45019</v>
      </c>
      <c r="B12" s="33">
        <f>29.4+29.4+29.4+139.65+139.65+29.4+62.48+29.4+49+14.7+29.4+29.4+36.75+29.4</f>
        <v>677.43</v>
      </c>
      <c r="C12" s="16">
        <f>28.13+13.6+10.97+17.62+18.48</f>
        <v>88.8</v>
      </c>
      <c r="D12" s="16">
        <f>82.1+82.1+389.98+123.3+41.05+389.98+82.1</f>
        <v>1190.6099999999999</v>
      </c>
      <c r="E12" s="16">
        <f>86.47+93.21+93.67+97.57+40.01</f>
        <v>410.93</v>
      </c>
      <c r="F12" s="16"/>
      <c r="G12" s="16"/>
      <c r="H12" s="16">
        <f>18.5</f>
        <v>18.5</v>
      </c>
      <c r="I12" s="16"/>
      <c r="J12" s="16">
        <f>0.62+0.62+0.62</f>
        <v>1.8599999999999999</v>
      </c>
      <c r="K12" s="16">
        <f>38</f>
        <v>38</v>
      </c>
      <c r="L12" s="16"/>
      <c r="M12" s="17"/>
      <c r="N12" s="17"/>
      <c r="O12" s="17"/>
      <c r="P12" s="5">
        <f t="shared" ref="P12:P26" si="0">SUM(B12:L12)</f>
        <v>2426.1299999999997</v>
      </c>
    </row>
    <row r="13" spans="1:16" ht="24" customHeight="1" x14ac:dyDescent="0.2">
      <c r="A13" s="15">
        <v>45020</v>
      </c>
      <c r="B13" s="16">
        <f>29.4+29.4+29.4</f>
        <v>88.199999999999989</v>
      </c>
      <c r="C13" s="16"/>
      <c r="D13" s="16"/>
      <c r="E13" s="16"/>
      <c r="F13" s="16"/>
      <c r="G13" s="16"/>
      <c r="H13" s="16"/>
      <c r="I13" s="16"/>
      <c r="J13" s="16"/>
      <c r="K13" s="16">
        <f>38+38</f>
        <v>76</v>
      </c>
      <c r="L13" s="16"/>
      <c r="M13" s="17"/>
      <c r="N13" s="17"/>
      <c r="O13" s="17"/>
      <c r="P13" s="5">
        <f t="shared" si="0"/>
        <v>164.2</v>
      </c>
    </row>
    <row r="14" spans="1:16" ht="24" customHeight="1" x14ac:dyDescent="0.2">
      <c r="A14" s="28">
        <v>45021</v>
      </c>
      <c r="B14" s="18">
        <f>36.75+29.4+29.4+29.4</f>
        <v>124.95000000000002</v>
      </c>
      <c r="C14" s="18"/>
      <c r="D14" s="18"/>
      <c r="E14" s="18"/>
      <c r="F14" s="18"/>
      <c r="G14" s="18"/>
      <c r="H14" s="18"/>
      <c r="I14" s="18"/>
      <c r="J14" s="18"/>
      <c r="K14" s="18">
        <f>38+38+38</f>
        <v>114</v>
      </c>
      <c r="L14" s="18"/>
      <c r="M14" s="17"/>
      <c r="N14" s="17"/>
      <c r="O14" s="17"/>
      <c r="P14" s="5">
        <f t="shared" si="0"/>
        <v>238.95000000000002</v>
      </c>
    </row>
    <row r="15" spans="1:16" ht="24" customHeight="1" x14ac:dyDescent="0.2">
      <c r="A15" s="28">
        <v>45022</v>
      </c>
      <c r="B15" s="18">
        <f>36.75</f>
        <v>36.75</v>
      </c>
      <c r="C15" s="18"/>
      <c r="D15" s="18"/>
      <c r="E15" s="18"/>
      <c r="F15" s="18"/>
      <c r="G15" s="18"/>
      <c r="H15" s="18"/>
      <c r="I15" s="18"/>
      <c r="J15" s="18">
        <f>0.62</f>
        <v>0.62</v>
      </c>
      <c r="K15" s="18"/>
      <c r="L15" s="18"/>
      <c r="M15" s="17"/>
      <c r="N15" s="17"/>
      <c r="O15" s="17"/>
      <c r="P15" s="5">
        <f t="shared" si="0"/>
        <v>37.369999999999997</v>
      </c>
    </row>
    <row r="16" spans="1:16" ht="24" customHeight="1" x14ac:dyDescent="0.2">
      <c r="A16" s="30">
        <v>45026</v>
      </c>
      <c r="B16" s="18"/>
      <c r="C16" s="18"/>
      <c r="D16" s="18"/>
      <c r="E16" s="18"/>
      <c r="F16" s="18"/>
      <c r="G16" s="18"/>
      <c r="H16" s="18"/>
      <c r="I16" s="18"/>
      <c r="J16" s="18"/>
      <c r="K16" s="18">
        <f>28.75</f>
        <v>28.75</v>
      </c>
      <c r="L16" s="18"/>
      <c r="M16" s="17"/>
      <c r="N16" s="17"/>
      <c r="O16" s="17"/>
      <c r="P16" s="5">
        <f t="shared" si="0"/>
        <v>28.75</v>
      </c>
    </row>
    <row r="17" spans="1:18" ht="24" customHeight="1" x14ac:dyDescent="0.2">
      <c r="A17" s="30">
        <v>45027</v>
      </c>
      <c r="B17" s="18">
        <f>73.5</f>
        <v>73.5</v>
      </c>
      <c r="C17" s="18">
        <f>27.48</f>
        <v>27.48</v>
      </c>
      <c r="D17" s="18"/>
      <c r="E17" s="18"/>
      <c r="F17" s="18">
        <f>20.5</f>
        <v>20.5</v>
      </c>
      <c r="G17" s="18"/>
      <c r="H17" s="18">
        <f>20.5</f>
        <v>20.5</v>
      </c>
      <c r="I17" s="18"/>
      <c r="J17" s="18">
        <f>0.62</f>
        <v>0.62</v>
      </c>
      <c r="K17" s="18">
        <f>38+38</f>
        <v>76</v>
      </c>
      <c r="L17" s="18"/>
      <c r="M17" s="17"/>
      <c r="N17" s="17"/>
      <c r="O17" s="17"/>
      <c r="P17" s="5">
        <f>SUM(B17:L17)</f>
        <v>218.60000000000002</v>
      </c>
    </row>
    <row r="18" spans="1:18" ht="24" customHeight="1" x14ac:dyDescent="0.2">
      <c r="A18" s="30">
        <v>45028</v>
      </c>
      <c r="B18" s="18">
        <f>29.4</f>
        <v>29.4</v>
      </c>
      <c r="C18" s="18">
        <f>7.71+5.25+6.36+7.16+7.5+6.56+4.8+5.01</f>
        <v>50.35</v>
      </c>
      <c r="D18" s="18"/>
      <c r="E18" s="18"/>
      <c r="F18" s="18"/>
      <c r="G18" s="18"/>
      <c r="H18" s="18"/>
      <c r="I18" s="18"/>
      <c r="J18" s="18">
        <f>0.62</f>
        <v>0.62</v>
      </c>
      <c r="K18" s="18"/>
      <c r="L18" s="18"/>
      <c r="M18" s="17"/>
      <c r="N18" s="17"/>
      <c r="O18" s="17"/>
      <c r="P18" s="5">
        <f t="shared" si="0"/>
        <v>80.37</v>
      </c>
    </row>
    <row r="19" spans="1:18" ht="24" customHeight="1" x14ac:dyDescent="0.2">
      <c r="A19" s="30">
        <v>45034</v>
      </c>
      <c r="B19" s="18">
        <f>29.4</f>
        <v>29.4</v>
      </c>
      <c r="C19" s="18"/>
      <c r="D19" s="18"/>
      <c r="E19" s="18"/>
      <c r="F19" s="18">
        <f>20.5+20.5</f>
        <v>41</v>
      </c>
      <c r="G19" s="18"/>
      <c r="H19" s="18"/>
      <c r="I19" s="18"/>
      <c r="J19" s="18"/>
      <c r="K19" s="18"/>
      <c r="L19" s="18"/>
      <c r="M19" s="17"/>
      <c r="N19" s="17"/>
      <c r="O19" s="17"/>
      <c r="P19" s="5">
        <f t="shared" si="0"/>
        <v>70.400000000000006</v>
      </c>
    </row>
    <row r="20" spans="1:18" ht="24" customHeight="1" x14ac:dyDescent="0.2">
      <c r="A20" s="30">
        <v>45035</v>
      </c>
      <c r="B20" s="18"/>
      <c r="C20" s="18"/>
      <c r="D20" s="18"/>
      <c r="E20" s="18"/>
      <c r="F20" s="18"/>
      <c r="G20" s="18"/>
      <c r="H20" s="18"/>
      <c r="I20" s="18"/>
      <c r="J20" s="18"/>
      <c r="K20" s="18">
        <f>38</f>
        <v>38</v>
      </c>
      <c r="L20" s="18"/>
      <c r="M20" s="17"/>
      <c r="N20" s="17"/>
      <c r="O20" s="17"/>
      <c r="P20" s="5">
        <f t="shared" si="0"/>
        <v>38</v>
      </c>
    </row>
    <row r="21" spans="1:18" ht="24" customHeight="1" x14ac:dyDescent="0.2">
      <c r="A21" s="30">
        <v>45036</v>
      </c>
      <c r="B21" s="18">
        <f>36.75</f>
        <v>36.75</v>
      </c>
      <c r="C21" s="18"/>
      <c r="D21" s="18"/>
      <c r="E21" s="18"/>
      <c r="F21" s="18">
        <f>20.5</f>
        <v>20.5</v>
      </c>
      <c r="G21" s="18"/>
      <c r="H21" s="18"/>
      <c r="I21" s="18"/>
      <c r="J21" s="18"/>
      <c r="K21" s="18">
        <f>38</f>
        <v>38</v>
      </c>
      <c r="L21" s="18"/>
      <c r="M21" s="17"/>
      <c r="N21" s="17"/>
      <c r="O21" s="17"/>
      <c r="P21" s="5">
        <f t="shared" si="0"/>
        <v>95.25</v>
      </c>
    </row>
    <row r="22" spans="1:18" ht="24" customHeight="1" x14ac:dyDescent="0.2">
      <c r="A22" s="30">
        <v>45040</v>
      </c>
      <c r="B22" s="18">
        <v>14.7</v>
      </c>
      <c r="C22" s="18"/>
      <c r="D22" s="18">
        <f>136.83</f>
        <v>136.83000000000001</v>
      </c>
      <c r="E22" s="18"/>
      <c r="F22" s="18"/>
      <c r="G22" s="18"/>
      <c r="H22" s="18"/>
      <c r="I22" s="18"/>
      <c r="J22" s="18"/>
      <c r="K22" s="18"/>
      <c r="L22" s="18"/>
      <c r="M22" s="17"/>
      <c r="N22" s="17"/>
      <c r="O22" s="17"/>
      <c r="P22" s="5">
        <f t="shared" si="0"/>
        <v>151.53</v>
      </c>
    </row>
    <row r="23" spans="1:18" ht="24" customHeight="1" x14ac:dyDescent="0.2">
      <c r="A23" s="30">
        <v>45041</v>
      </c>
      <c r="B23" s="18">
        <f>29.4</f>
        <v>29.4</v>
      </c>
      <c r="C23" s="18">
        <f>2.4+6.54+7.6+7.27+9.2+8.41+1.15</f>
        <v>42.57</v>
      </c>
      <c r="D23" s="18"/>
      <c r="E23" s="18"/>
      <c r="F23" s="18"/>
      <c r="G23" s="18"/>
      <c r="H23" s="18"/>
      <c r="I23" s="18">
        <f>1.82+2.67</f>
        <v>4.49</v>
      </c>
      <c r="J23" s="18">
        <f>0.62</f>
        <v>0.62</v>
      </c>
      <c r="K23" s="18"/>
      <c r="L23" s="18"/>
      <c r="M23" s="17"/>
      <c r="N23" s="17"/>
      <c r="O23" s="17"/>
      <c r="P23" s="5">
        <f t="shared" si="0"/>
        <v>77.08</v>
      </c>
    </row>
    <row r="24" spans="1:18" ht="24" customHeight="1" x14ac:dyDescent="0.2">
      <c r="A24" s="19">
        <v>45042</v>
      </c>
      <c r="B24" s="18">
        <f>73.5</f>
        <v>73.5</v>
      </c>
      <c r="C24" s="18"/>
      <c r="D24" s="18"/>
      <c r="E24" s="18"/>
      <c r="F24" s="18">
        <f>20.5</f>
        <v>20.5</v>
      </c>
      <c r="G24" s="18"/>
      <c r="H24" s="18">
        <f>20.5</f>
        <v>20.5</v>
      </c>
      <c r="I24" s="18"/>
      <c r="J24" s="18"/>
      <c r="K24" s="18"/>
      <c r="L24" s="18"/>
      <c r="M24" s="17"/>
      <c r="N24" s="17"/>
      <c r="O24" s="17"/>
      <c r="P24" s="5">
        <f t="shared" si="0"/>
        <v>114.5</v>
      </c>
    </row>
    <row r="25" spans="1:18" ht="24" customHeight="1" x14ac:dyDescent="0.2">
      <c r="A25" s="19">
        <v>45043</v>
      </c>
      <c r="B25" s="26">
        <f>147+36.75</f>
        <v>183.75</v>
      </c>
      <c r="C25" s="18"/>
      <c r="D25" s="18">
        <f>40.85+204.25</f>
        <v>245.1</v>
      </c>
      <c r="E25" s="18">
        <f>230.34</f>
        <v>230.34</v>
      </c>
      <c r="F25" s="18"/>
      <c r="G25" s="18"/>
      <c r="H25" s="18"/>
      <c r="I25" s="18"/>
      <c r="J25" s="18"/>
      <c r="K25" s="18">
        <f>38</f>
        <v>38</v>
      </c>
      <c r="L25" s="18"/>
      <c r="M25" s="17"/>
      <c r="N25" s="17"/>
      <c r="O25" s="17"/>
      <c r="P25" s="5">
        <f t="shared" si="0"/>
        <v>697.19</v>
      </c>
    </row>
    <row r="26" spans="1:18" ht="24" customHeight="1" x14ac:dyDescent="0.2">
      <c r="A26" s="19">
        <v>45044</v>
      </c>
      <c r="B26" s="18">
        <f>29.4</f>
        <v>29.4</v>
      </c>
      <c r="C26" s="18"/>
      <c r="D26" s="18"/>
      <c r="E26" s="18"/>
      <c r="F26" s="18"/>
      <c r="G26" s="18"/>
      <c r="H26" s="18"/>
      <c r="I26" s="18"/>
      <c r="J26" s="18"/>
      <c r="K26" s="18">
        <f>38+38</f>
        <v>76</v>
      </c>
      <c r="L26" s="18"/>
      <c r="M26" s="17"/>
      <c r="N26" s="17"/>
      <c r="O26" s="17"/>
      <c r="P26" s="5">
        <f t="shared" si="0"/>
        <v>105.4</v>
      </c>
    </row>
    <row r="27" spans="1:18" s="37" customFormat="1" ht="24" customHeight="1" x14ac:dyDescent="0.2">
      <c r="A27" s="31" t="s">
        <v>2</v>
      </c>
      <c r="B27" s="34">
        <f t="shared" ref="B27:P27" si="1">SUM(B12:B26)</f>
        <v>1427.1300000000003</v>
      </c>
      <c r="C27" s="34">
        <f t="shared" si="1"/>
        <v>209.2</v>
      </c>
      <c r="D27" s="34">
        <f t="shared" si="1"/>
        <v>1572.5399999999997</v>
      </c>
      <c r="E27" s="34">
        <f t="shared" si="1"/>
        <v>641.27</v>
      </c>
      <c r="F27" s="34">
        <f t="shared" si="1"/>
        <v>102.5</v>
      </c>
      <c r="G27" s="34">
        <f t="shared" si="1"/>
        <v>0</v>
      </c>
      <c r="H27" s="34">
        <f t="shared" si="1"/>
        <v>59.5</v>
      </c>
      <c r="I27" s="34">
        <f t="shared" si="1"/>
        <v>4.49</v>
      </c>
      <c r="J27" s="34">
        <f t="shared" si="1"/>
        <v>4.34</v>
      </c>
      <c r="K27" s="34">
        <f t="shared" si="1"/>
        <v>522.75</v>
      </c>
      <c r="L27" s="34">
        <f t="shared" si="1"/>
        <v>0</v>
      </c>
      <c r="M27" s="35">
        <f t="shared" si="1"/>
        <v>0</v>
      </c>
      <c r="N27" s="35">
        <f t="shared" si="1"/>
        <v>0</v>
      </c>
      <c r="O27" s="35">
        <f t="shared" si="1"/>
        <v>0</v>
      </c>
      <c r="P27" s="36">
        <f t="shared" si="1"/>
        <v>4543.7199999999993</v>
      </c>
      <c r="R27" s="38"/>
    </row>
    <row r="28" spans="1:18" x14ac:dyDescent="0.2">
      <c r="A28" s="25"/>
      <c r="B28" s="32" t="s">
        <v>43</v>
      </c>
      <c r="C28" s="32"/>
      <c r="D28" s="32" t="s">
        <v>43</v>
      </c>
      <c r="E28" s="32"/>
      <c r="F28" s="32" t="s">
        <v>43</v>
      </c>
      <c r="G28" s="32"/>
      <c r="H28" s="32" t="s">
        <v>43</v>
      </c>
      <c r="I28" s="32" t="s">
        <v>43</v>
      </c>
      <c r="J28" s="32" t="s">
        <v>43</v>
      </c>
      <c r="K28" s="32" t="s">
        <v>43</v>
      </c>
      <c r="L28" s="32"/>
      <c r="M28" s="57" t="s">
        <v>34</v>
      </c>
      <c r="N28" s="57"/>
      <c r="O28" s="57"/>
      <c r="P28" s="57"/>
    </row>
    <row r="29" spans="1:18" x14ac:dyDescent="0.2">
      <c r="A29" s="25"/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7"/>
    </row>
    <row r="30" spans="1:18" x14ac:dyDescent="0.2">
      <c r="A30" s="25"/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7"/>
    </row>
  </sheetData>
  <mergeCells count="18">
    <mergeCell ref="M28:P28"/>
    <mergeCell ref="O9:O11"/>
    <mergeCell ref="P9:P11"/>
    <mergeCell ref="J9:J11"/>
    <mergeCell ref="K9:K11"/>
    <mergeCell ref="L9:L11"/>
    <mergeCell ref="M9:M11"/>
    <mergeCell ref="N9:N11"/>
    <mergeCell ref="E9:E11"/>
    <mergeCell ref="F9:F11"/>
    <mergeCell ref="G9:G11"/>
    <mergeCell ref="H9:H11"/>
    <mergeCell ref="I9:I11"/>
    <mergeCell ref="A7:B7"/>
    <mergeCell ref="A9:A11"/>
    <mergeCell ref="B9:B11"/>
    <mergeCell ref="C9:C11"/>
    <mergeCell ref="D9:D11"/>
  </mergeCells>
  <printOptions horizontalCentered="1"/>
  <pageMargins left="0.19685039370078741" right="0.19685039370078741" top="0.39370078740157483" bottom="0.39370078740157483" header="0.51181102362204722" footer="0.51181102362204722"/>
  <pageSetup paperSize="9" fitToWidth="0" orientation="landscape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R34"/>
  <sheetViews>
    <sheetView topLeftCell="A4" zoomScaleNormal="100" workbookViewId="0">
      <pane xSplit="1" ySplit="8" topLeftCell="B12" activePane="bottomRight" state="frozen"/>
      <selection activeCell="A4" sqref="A4"/>
      <selection pane="topRight" activeCell="B4" sqref="B4"/>
      <selection pane="bottomLeft" activeCell="A25" sqref="A25"/>
      <selection pane="bottomRight" activeCell="U20" sqref="U20"/>
    </sheetView>
  </sheetViews>
  <sheetFormatPr defaultColWidth="9.140625" defaultRowHeight="11.25" x14ac:dyDescent="0.2"/>
  <cols>
    <col min="1" max="1" width="8.85546875" style="2" customWidth="1"/>
    <col min="2" max="2" width="7.85546875" style="2" customWidth="1"/>
    <col min="3" max="3" width="8.42578125" style="2" customWidth="1"/>
    <col min="4" max="4" width="7.5703125" style="2" customWidth="1"/>
    <col min="5" max="5" width="8.85546875" style="2" customWidth="1"/>
    <col min="6" max="6" width="8.5703125" style="2" customWidth="1"/>
    <col min="7" max="7" width="6.42578125" style="2" customWidth="1"/>
    <col min="8" max="9" width="8" style="2" customWidth="1"/>
    <col min="10" max="10" width="8.7109375" style="2" customWidth="1"/>
    <col min="11" max="11" width="7.5703125" style="2" customWidth="1"/>
    <col min="12" max="12" width="8" style="2" customWidth="1"/>
    <col min="13" max="13" width="7.85546875" style="2" customWidth="1"/>
    <col min="14" max="14" width="7.7109375" style="2" customWidth="1"/>
    <col min="15" max="15" width="9.140625" style="2"/>
    <col min="16" max="16" width="8.7109375" style="2" customWidth="1"/>
    <col min="17" max="16384" width="9.140625" style="2"/>
  </cols>
  <sheetData>
    <row r="5" spans="1:16" ht="12.75" x14ac:dyDescent="0.2">
      <c r="A5" s="44" t="s">
        <v>42</v>
      </c>
    </row>
    <row r="7" spans="1:16" ht="12" x14ac:dyDescent="0.2">
      <c r="A7" s="52">
        <v>45047</v>
      </c>
      <c r="B7" s="52"/>
      <c r="D7" s="14"/>
      <c r="E7" s="14"/>
      <c r="F7" s="14"/>
      <c r="G7" s="14"/>
      <c r="H7" s="14"/>
    </row>
    <row r="9" spans="1:16" ht="15" customHeight="1" x14ac:dyDescent="0.2">
      <c r="A9" s="53"/>
      <c r="B9" s="54" t="s">
        <v>30</v>
      </c>
      <c r="C9" s="54" t="s">
        <v>17</v>
      </c>
      <c r="D9" s="54" t="s">
        <v>31</v>
      </c>
      <c r="E9" s="54" t="s">
        <v>19</v>
      </c>
      <c r="F9" s="54" t="s">
        <v>20</v>
      </c>
      <c r="G9" s="54" t="s">
        <v>21</v>
      </c>
      <c r="H9" s="54" t="s">
        <v>22</v>
      </c>
      <c r="I9" s="54" t="s">
        <v>23</v>
      </c>
      <c r="J9" s="54" t="s">
        <v>24</v>
      </c>
      <c r="K9" s="54" t="s">
        <v>25</v>
      </c>
      <c r="L9" s="54" t="s">
        <v>26</v>
      </c>
      <c r="M9" s="55" t="s">
        <v>27</v>
      </c>
      <c r="N9" s="55" t="s">
        <v>28</v>
      </c>
      <c r="O9" s="55" t="s">
        <v>29</v>
      </c>
      <c r="P9" s="56" t="s">
        <v>1</v>
      </c>
    </row>
    <row r="10" spans="1:16" ht="11.25" customHeight="1" x14ac:dyDescent="0.2">
      <c r="A10" s="53"/>
      <c r="B10" s="54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5"/>
      <c r="N10" s="55"/>
      <c r="O10" s="55"/>
      <c r="P10" s="56"/>
    </row>
    <row r="11" spans="1:16" ht="11.25" customHeight="1" x14ac:dyDescent="0.2">
      <c r="A11" s="53"/>
      <c r="B11" s="54"/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5"/>
      <c r="N11" s="55"/>
      <c r="O11" s="55"/>
      <c r="P11" s="56"/>
    </row>
    <row r="12" spans="1:16" ht="23.25" customHeight="1" x14ac:dyDescent="0.2">
      <c r="A12" s="15">
        <v>44683</v>
      </c>
      <c r="B12" s="16">
        <f>36.75+29.4+99.66+29.4+29.4+29.4+29.4+29.4+29.4+14.7+29.4+29.4+12.25+29.4+29.4+36.75+29.4</f>
        <v>552.90999999999985</v>
      </c>
      <c r="C12" s="16">
        <f>10.97+17.73+13.68+28.32+18.59+12</f>
        <v>101.29</v>
      </c>
      <c r="D12" s="16">
        <f>82.1+82.1+17.11+123.3+82.1+204.25+820.25</f>
        <v>1411.21</v>
      </c>
      <c r="E12" s="16">
        <f>17.42+20.33+72.96+68.27+61.14+102.17+12.79+24.88+23.27+22.38+20.33+17.42</f>
        <v>463.36</v>
      </c>
      <c r="F12" s="16"/>
      <c r="G12" s="16">
        <f>61.75</f>
        <v>61.75</v>
      </c>
      <c r="H12" s="16"/>
      <c r="I12" s="16">
        <v>0.56999999999999995</v>
      </c>
      <c r="J12" s="16">
        <f>0.63+0.62+0.63+0.62+0.62+0.62</f>
        <v>3.74</v>
      </c>
      <c r="K12" s="16"/>
      <c r="L12" s="16"/>
      <c r="M12" s="17"/>
      <c r="N12" s="17"/>
      <c r="O12" s="17"/>
      <c r="P12" s="5">
        <f t="shared" ref="P12:P30" si="0">SUM(B12:L12)</f>
        <v>2594.83</v>
      </c>
    </row>
    <row r="13" spans="1:16" ht="23.25" customHeight="1" x14ac:dyDescent="0.2">
      <c r="A13" s="15">
        <v>44319</v>
      </c>
      <c r="B13" s="16">
        <f>29.4+36.75+29.4+29.4</f>
        <v>124.95000000000002</v>
      </c>
      <c r="C13" s="16"/>
      <c r="D13" s="16">
        <f>41.05</f>
        <v>41.05</v>
      </c>
      <c r="E13" s="16">
        <f>40.32</f>
        <v>40.32</v>
      </c>
      <c r="F13" s="16"/>
      <c r="G13" s="16"/>
      <c r="H13" s="16"/>
      <c r="I13" s="16"/>
      <c r="J13" s="16">
        <f>0.62</f>
        <v>0.62</v>
      </c>
      <c r="K13" s="16"/>
      <c r="L13" s="16"/>
      <c r="M13" s="17"/>
      <c r="N13" s="17"/>
      <c r="O13" s="17"/>
      <c r="P13" s="5">
        <f t="shared" si="0"/>
        <v>206.94</v>
      </c>
    </row>
    <row r="14" spans="1:16" ht="24" customHeight="1" x14ac:dyDescent="0.2">
      <c r="A14" s="15">
        <v>44320</v>
      </c>
      <c r="B14" s="16">
        <f>49+36.75</f>
        <v>85.75</v>
      </c>
      <c r="C14" s="16"/>
      <c r="D14" s="16"/>
      <c r="E14" s="16"/>
      <c r="F14" s="16"/>
      <c r="G14" s="16"/>
      <c r="H14" s="16"/>
      <c r="I14" s="16"/>
      <c r="J14" s="16">
        <f>0.62</f>
        <v>0.62</v>
      </c>
      <c r="K14" s="16"/>
      <c r="L14" s="16"/>
      <c r="M14" s="17"/>
      <c r="N14" s="17"/>
      <c r="O14" s="17"/>
      <c r="P14" s="5">
        <f t="shared" si="0"/>
        <v>86.37</v>
      </c>
    </row>
    <row r="15" spans="1:16" ht="24" customHeight="1" x14ac:dyDescent="0.2">
      <c r="A15" s="28">
        <v>44321</v>
      </c>
      <c r="B15" s="18">
        <f>29.4+29.4</f>
        <v>58.8</v>
      </c>
      <c r="C15" s="18"/>
      <c r="D15" s="18"/>
      <c r="E15" s="18"/>
      <c r="F15" s="18"/>
      <c r="G15" s="18"/>
      <c r="H15" s="18"/>
      <c r="I15" s="18"/>
      <c r="J15" s="18"/>
      <c r="K15" s="18">
        <f>38</f>
        <v>38</v>
      </c>
      <c r="L15" s="18"/>
      <c r="M15" s="17"/>
      <c r="N15" s="17"/>
      <c r="O15" s="17"/>
      <c r="P15" s="5">
        <f t="shared" si="0"/>
        <v>96.8</v>
      </c>
    </row>
    <row r="16" spans="1:16" ht="24" customHeight="1" x14ac:dyDescent="0.2">
      <c r="A16" s="28">
        <v>45054</v>
      </c>
      <c r="B16" s="18">
        <f>14.7</f>
        <v>14.7</v>
      </c>
      <c r="C16" s="18"/>
      <c r="D16" s="18">
        <f>82.1</f>
        <v>82.1</v>
      </c>
      <c r="E16" s="18"/>
      <c r="F16" s="18"/>
      <c r="G16" s="18"/>
      <c r="H16" s="18"/>
      <c r="I16" s="18"/>
      <c r="J16" s="18"/>
      <c r="K16" s="18"/>
      <c r="L16" s="18"/>
      <c r="M16" s="17"/>
      <c r="N16" s="17"/>
      <c r="O16" s="17"/>
      <c r="P16" s="5">
        <f t="shared" si="0"/>
        <v>96.8</v>
      </c>
    </row>
    <row r="17" spans="1:18" ht="24" customHeight="1" x14ac:dyDescent="0.2">
      <c r="A17" s="30">
        <v>44690</v>
      </c>
      <c r="B17" s="18">
        <f>29.4+29.4</f>
        <v>58.8</v>
      </c>
      <c r="C17" s="18"/>
      <c r="D17" s="18"/>
      <c r="E17" s="18"/>
      <c r="F17" s="18">
        <f>20.5</f>
        <v>20.5</v>
      </c>
      <c r="G17" s="18"/>
      <c r="H17" s="18"/>
      <c r="I17" s="18"/>
      <c r="J17" s="18"/>
      <c r="K17" s="18"/>
      <c r="L17" s="18"/>
      <c r="M17" s="17"/>
      <c r="N17" s="17"/>
      <c r="O17" s="17"/>
      <c r="P17" s="5">
        <f t="shared" si="0"/>
        <v>79.3</v>
      </c>
    </row>
    <row r="18" spans="1:18" ht="24" customHeight="1" x14ac:dyDescent="0.2">
      <c r="A18" s="30">
        <v>44691</v>
      </c>
      <c r="B18" s="18"/>
      <c r="C18" s="18">
        <f>31.54+178.72</f>
        <v>210.26</v>
      </c>
      <c r="D18" s="18"/>
      <c r="E18" s="18"/>
      <c r="F18" s="18"/>
      <c r="G18" s="18"/>
      <c r="H18" s="18"/>
      <c r="I18" s="18">
        <f>52.23</f>
        <v>52.23</v>
      </c>
      <c r="J18" s="18">
        <f>0.62</f>
        <v>0.62</v>
      </c>
      <c r="K18" s="18"/>
      <c r="L18" s="18"/>
      <c r="M18" s="17"/>
      <c r="N18" s="17"/>
      <c r="O18" s="17"/>
      <c r="P18" s="5">
        <f t="shared" si="0"/>
        <v>263.11</v>
      </c>
    </row>
    <row r="19" spans="1:18" ht="24" customHeight="1" x14ac:dyDescent="0.2">
      <c r="A19" s="30">
        <v>44692</v>
      </c>
      <c r="B19" s="18">
        <f>29.4+147+36.75</f>
        <v>213.15</v>
      </c>
      <c r="C19" s="18">
        <f>28</f>
        <v>28</v>
      </c>
      <c r="D19" s="18">
        <f>136.83</f>
        <v>136.83000000000001</v>
      </c>
      <c r="E19" s="18"/>
      <c r="F19" s="18"/>
      <c r="G19" s="18"/>
      <c r="H19" s="18"/>
      <c r="I19" s="18"/>
      <c r="J19" s="18">
        <f>0.62</f>
        <v>0.62</v>
      </c>
      <c r="K19" s="18"/>
      <c r="L19" s="18"/>
      <c r="M19" s="17"/>
      <c r="N19" s="17"/>
      <c r="O19" s="17"/>
      <c r="P19" s="5">
        <f t="shared" si="0"/>
        <v>378.6</v>
      </c>
    </row>
    <row r="20" spans="1:18" ht="24" customHeight="1" x14ac:dyDescent="0.2">
      <c r="A20" s="30">
        <v>45061</v>
      </c>
      <c r="B20" s="18">
        <f>147</f>
        <v>147</v>
      </c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7"/>
      <c r="N20" s="17"/>
      <c r="O20" s="17"/>
      <c r="P20" s="5">
        <f t="shared" si="0"/>
        <v>147</v>
      </c>
    </row>
    <row r="21" spans="1:18" ht="24" customHeight="1" x14ac:dyDescent="0.2">
      <c r="A21" s="30">
        <v>45063</v>
      </c>
      <c r="B21" s="18"/>
      <c r="C21" s="18"/>
      <c r="D21" s="18"/>
      <c r="E21" s="18"/>
      <c r="F21" s="18"/>
      <c r="G21" s="18"/>
      <c r="H21" s="18"/>
      <c r="I21" s="18"/>
      <c r="J21" s="18"/>
      <c r="K21" s="18">
        <f>38</f>
        <v>38</v>
      </c>
      <c r="L21" s="18"/>
      <c r="M21" s="17"/>
      <c r="N21" s="17"/>
      <c r="O21" s="17"/>
      <c r="P21" s="5">
        <f t="shared" si="0"/>
        <v>38</v>
      </c>
    </row>
    <row r="22" spans="1:18" ht="24" customHeight="1" x14ac:dyDescent="0.2">
      <c r="A22" s="19">
        <v>45064</v>
      </c>
      <c r="B22" s="18">
        <f>36.75</f>
        <v>36.75</v>
      </c>
      <c r="C22" s="18"/>
      <c r="D22" s="18"/>
      <c r="E22" s="18"/>
      <c r="F22" s="18"/>
      <c r="G22" s="18"/>
      <c r="H22" s="18"/>
      <c r="I22" s="18">
        <f>7.32</f>
        <v>7.32</v>
      </c>
      <c r="J22" s="18">
        <f>0.62</f>
        <v>0.62</v>
      </c>
      <c r="K22" s="18">
        <f>38</f>
        <v>38</v>
      </c>
      <c r="L22" s="18"/>
      <c r="M22" s="17"/>
      <c r="N22" s="17"/>
      <c r="O22" s="17"/>
      <c r="P22" s="5">
        <f t="shared" si="0"/>
        <v>82.69</v>
      </c>
    </row>
    <row r="23" spans="1:18" ht="24" customHeight="1" x14ac:dyDescent="0.2">
      <c r="A23" s="19">
        <v>45065</v>
      </c>
      <c r="B23" s="18">
        <f>49</f>
        <v>49</v>
      </c>
      <c r="C23" s="18"/>
      <c r="D23" s="18">
        <f>410.5+61.75+204.25</f>
        <v>676.5</v>
      </c>
      <c r="E23" s="18"/>
      <c r="F23" s="18"/>
      <c r="G23" s="18">
        <f>61.75</f>
        <v>61.75</v>
      </c>
      <c r="H23" s="18"/>
      <c r="I23" s="18"/>
      <c r="J23" s="18">
        <f>0.62</f>
        <v>0.62</v>
      </c>
      <c r="K23" s="18"/>
      <c r="L23" s="18"/>
      <c r="M23" s="17"/>
      <c r="N23" s="17"/>
      <c r="O23" s="17"/>
      <c r="P23" s="5">
        <f t="shared" si="0"/>
        <v>787.87</v>
      </c>
    </row>
    <row r="24" spans="1:18" ht="24" customHeight="1" x14ac:dyDescent="0.2">
      <c r="A24" s="19">
        <v>45068</v>
      </c>
      <c r="B24" s="18"/>
      <c r="C24" s="18"/>
      <c r="D24" s="18">
        <f>410.5</f>
        <v>410.5</v>
      </c>
      <c r="E24" s="18"/>
      <c r="F24" s="18"/>
      <c r="G24" s="18">
        <f>61.75</f>
        <v>61.75</v>
      </c>
      <c r="H24" s="18"/>
      <c r="I24" s="18"/>
      <c r="J24" s="18"/>
      <c r="K24" s="18"/>
      <c r="L24" s="18"/>
      <c r="M24" s="17"/>
      <c r="N24" s="17"/>
      <c r="O24" s="17"/>
      <c r="P24" s="5">
        <f t="shared" si="0"/>
        <v>472.25</v>
      </c>
    </row>
    <row r="25" spans="1:18" ht="24" customHeight="1" x14ac:dyDescent="0.2">
      <c r="A25" s="19">
        <v>45069</v>
      </c>
      <c r="B25" s="18">
        <f>73.5</f>
        <v>73.5</v>
      </c>
      <c r="C25" s="18"/>
      <c r="D25" s="18"/>
      <c r="E25" s="18"/>
      <c r="F25" s="18">
        <f>20.5</f>
        <v>20.5</v>
      </c>
      <c r="G25" s="18"/>
      <c r="H25" s="18">
        <f>20.5</f>
        <v>20.5</v>
      </c>
      <c r="I25" s="18"/>
      <c r="J25" s="18"/>
      <c r="K25" s="18"/>
      <c r="L25" s="18"/>
      <c r="M25" s="17"/>
      <c r="N25" s="17"/>
      <c r="O25" s="17"/>
      <c r="P25" s="5">
        <f t="shared" si="0"/>
        <v>114.5</v>
      </c>
    </row>
    <row r="26" spans="1:18" ht="24" customHeight="1" x14ac:dyDescent="0.2">
      <c r="A26" s="19">
        <v>45070</v>
      </c>
      <c r="B26" s="18"/>
      <c r="C26" s="18"/>
      <c r="D26" s="18"/>
      <c r="E26" s="18"/>
      <c r="F26" s="18"/>
      <c r="G26" s="18"/>
      <c r="H26" s="18"/>
      <c r="I26" s="18"/>
      <c r="J26" s="18"/>
      <c r="K26" s="18">
        <f>38</f>
        <v>38</v>
      </c>
      <c r="L26" s="18"/>
      <c r="M26" s="17"/>
      <c r="N26" s="17"/>
      <c r="O26" s="17"/>
      <c r="P26" s="5">
        <f t="shared" si="0"/>
        <v>38</v>
      </c>
    </row>
    <row r="27" spans="1:18" ht="24" customHeight="1" x14ac:dyDescent="0.2">
      <c r="A27" s="19">
        <v>45071</v>
      </c>
      <c r="B27" s="18"/>
      <c r="C27" s="18">
        <f>113.54</f>
        <v>113.54</v>
      </c>
      <c r="D27" s="18">
        <f>205.25</f>
        <v>205.25</v>
      </c>
      <c r="E27" s="18"/>
      <c r="F27" s="18"/>
      <c r="G27" s="18">
        <f>61.75</f>
        <v>61.75</v>
      </c>
      <c r="H27" s="18"/>
      <c r="I27" s="18"/>
      <c r="J27" s="18">
        <f>0.62</f>
        <v>0.62</v>
      </c>
      <c r="K27" s="18"/>
      <c r="L27" s="18"/>
      <c r="M27" s="17"/>
      <c r="N27" s="17"/>
      <c r="O27" s="17"/>
      <c r="P27" s="5">
        <f t="shared" si="0"/>
        <v>381.16</v>
      </c>
    </row>
    <row r="28" spans="1:18" ht="24" customHeight="1" x14ac:dyDescent="0.2">
      <c r="A28" s="19">
        <v>45075</v>
      </c>
      <c r="B28" s="18">
        <f>29.4+29.4</f>
        <v>58.8</v>
      </c>
      <c r="C28" s="18"/>
      <c r="D28" s="18">
        <f>205.25+410.5</f>
        <v>615.75</v>
      </c>
      <c r="E28" s="18"/>
      <c r="F28" s="18"/>
      <c r="G28" s="18"/>
      <c r="H28" s="18"/>
      <c r="I28" s="18"/>
      <c r="J28" s="18"/>
      <c r="K28" s="18"/>
      <c r="L28" s="18"/>
      <c r="M28" s="17"/>
      <c r="N28" s="17"/>
      <c r="O28" s="17"/>
      <c r="P28" s="5">
        <f t="shared" si="0"/>
        <v>674.55</v>
      </c>
    </row>
    <row r="29" spans="1:18" ht="24" customHeight="1" x14ac:dyDescent="0.2">
      <c r="A29" s="19">
        <v>45076</v>
      </c>
      <c r="B29" s="18">
        <f>36.75+36.75+12.25</f>
        <v>85.75</v>
      </c>
      <c r="C29" s="18">
        <f>12.09</f>
        <v>12.09</v>
      </c>
      <c r="D29" s="18">
        <f>17.1+82.1+410.5+204.25</f>
        <v>713.95</v>
      </c>
      <c r="E29" s="18">
        <f>20.5+17.58+12.87+25.06+23.44+22.56+20.5+17.58</f>
        <v>160.08999999999997</v>
      </c>
      <c r="F29" s="18"/>
      <c r="G29" s="18">
        <f>61.75</f>
        <v>61.75</v>
      </c>
      <c r="H29" s="18"/>
      <c r="I29" s="18">
        <v>0.56999999999999995</v>
      </c>
      <c r="J29" s="18">
        <f>0.62+0.62+0.62+0.62</f>
        <v>2.48</v>
      </c>
      <c r="K29" s="18">
        <f>38</f>
        <v>38</v>
      </c>
      <c r="L29" s="18"/>
      <c r="M29" s="17"/>
      <c r="N29" s="17"/>
      <c r="O29" s="17"/>
      <c r="P29" s="5">
        <f t="shared" si="0"/>
        <v>1074.68</v>
      </c>
    </row>
    <row r="30" spans="1:18" ht="24" customHeight="1" x14ac:dyDescent="0.2">
      <c r="A30" s="19">
        <v>45077</v>
      </c>
      <c r="B30" s="18">
        <f>29.4+147+29.4+29.4+147+29.4+36.75</f>
        <v>448.35</v>
      </c>
      <c r="C30" s="18"/>
      <c r="D30" s="18">
        <f>40.85</f>
        <v>40.85</v>
      </c>
      <c r="E30" s="18"/>
      <c r="F30" s="18"/>
      <c r="G30" s="18"/>
      <c r="H30" s="18"/>
      <c r="I30" s="18"/>
      <c r="J30" s="18">
        <f>0.62</f>
        <v>0.62</v>
      </c>
      <c r="K30" s="18"/>
      <c r="L30" s="18"/>
      <c r="M30" s="17"/>
      <c r="N30" s="17"/>
      <c r="O30" s="17"/>
      <c r="P30" s="5">
        <f t="shared" si="0"/>
        <v>489.82000000000005</v>
      </c>
    </row>
    <row r="31" spans="1:18" ht="24" customHeight="1" x14ac:dyDescent="0.2">
      <c r="A31" s="30" t="s">
        <v>2</v>
      </c>
      <c r="B31" s="39">
        <f t="shared" ref="B31:P31" si="1">SUM(B12:B30)</f>
        <v>2008.21</v>
      </c>
      <c r="C31" s="39">
        <f t="shared" si="1"/>
        <v>465.18</v>
      </c>
      <c r="D31" s="39">
        <f t="shared" si="1"/>
        <v>4333.99</v>
      </c>
      <c r="E31" s="39">
        <f t="shared" si="1"/>
        <v>663.77</v>
      </c>
      <c r="F31" s="39">
        <f t="shared" si="1"/>
        <v>41</v>
      </c>
      <c r="G31" s="39">
        <f t="shared" si="1"/>
        <v>308.75</v>
      </c>
      <c r="H31" s="39">
        <f t="shared" si="1"/>
        <v>20.5</v>
      </c>
      <c r="I31" s="39">
        <f t="shared" si="1"/>
        <v>60.69</v>
      </c>
      <c r="J31" s="39">
        <f t="shared" si="1"/>
        <v>11.18</v>
      </c>
      <c r="K31" s="39">
        <f t="shared" si="1"/>
        <v>190</v>
      </c>
      <c r="L31" s="39">
        <f t="shared" si="1"/>
        <v>0</v>
      </c>
      <c r="M31" s="22">
        <f t="shared" si="1"/>
        <v>0</v>
      </c>
      <c r="N31" s="22">
        <f t="shared" si="1"/>
        <v>0</v>
      </c>
      <c r="O31" s="22">
        <f t="shared" si="1"/>
        <v>0</v>
      </c>
      <c r="P31" s="40">
        <f t="shared" si="1"/>
        <v>8103.27</v>
      </c>
      <c r="R31" s="29"/>
    </row>
    <row r="32" spans="1:18" ht="12" customHeight="1" x14ac:dyDescent="0.2">
      <c r="A32" s="25"/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58" t="s">
        <v>36</v>
      </c>
      <c r="M32" s="58"/>
      <c r="N32" s="58"/>
      <c r="O32" s="58"/>
      <c r="P32" s="58"/>
    </row>
    <row r="33" spans="1:16" ht="24" customHeight="1" x14ac:dyDescent="0.2">
      <c r="A33" s="25"/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7"/>
    </row>
    <row r="34" spans="1:16" ht="24" customHeight="1" x14ac:dyDescent="0.2">
      <c r="A34" s="25"/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7"/>
    </row>
  </sheetData>
  <mergeCells count="18">
    <mergeCell ref="L32:P32"/>
    <mergeCell ref="O9:O11"/>
    <mergeCell ref="P9:P11"/>
    <mergeCell ref="J9:J11"/>
    <mergeCell ref="K9:K11"/>
    <mergeCell ref="L9:L11"/>
    <mergeCell ref="M9:M11"/>
    <mergeCell ref="N9:N11"/>
    <mergeCell ref="E9:E11"/>
    <mergeCell ref="F9:F11"/>
    <mergeCell ref="G9:G11"/>
    <mergeCell ref="H9:H11"/>
    <mergeCell ref="I9:I11"/>
    <mergeCell ref="A7:B7"/>
    <mergeCell ref="A9:A11"/>
    <mergeCell ref="B9:B11"/>
    <mergeCell ref="C9:C11"/>
    <mergeCell ref="D9:D11"/>
  </mergeCells>
  <printOptions horizontalCentered="1"/>
  <pageMargins left="0.31496062992125984" right="0.31496062992125984" top="0.78740157480314965" bottom="0.78740157480314965" header="0.51181102362204722" footer="0.51181102362204722"/>
  <pageSetup paperSize="9" scale="80" fitToWidth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4"/>
  <sheetViews>
    <sheetView topLeftCell="A4" zoomScaleNormal="100" workbookViewId="0">
      <pane xSplit="1" ySplit="1" topLeftCell="B5" activePane="bottomRight" state="frozen"/>
      <selection activeCell="A4" sqref="A4"/>
      <selection pane="topRight" activeCell="W4" sqref="W4"/>
      <selection pane="bottomLeft" activeCell="A25" sqref="A25"/>
      <selection pane="bottomRight" activeCell="A5" sqref="A5"/>
    </sheetView>
  </sheetViews>
  <sheetFormatPr defaultColWidth="9.140625" defaultRowHeight="20.100000000000001" customHeight="1" x14ac:dyDescent="0.2"/>
  <cols>
    <col min="1" max="1" width="8.85546875" style="2" customWidth="1"/>
    <col min="2" max="2" width="7.85546875" style="2" customWidth="1"/>
    <col min="3" max="3" width="8.42578125" style="2" customWidth="1"/>
    <col min="4" max="4" width="12.85546875" style="2" bestFit="1" customWidth="1"/>
    <col min="5" max="5" width="8.85546875" style="2" customWidth="1"/>
    <col min="6" max="6" width="8.5703125" style="2" customWidth="1"/>
    <col min="7" max="7" width="6.42578125" style="2" customWidth="1"/>
    <col min="8" max="9" width="8" style="2" customWidth="1"/>
    <col min="10" max="10" width="8.7109375" style="2" customWidth="1"/>
    <col min="11" max="11" width="12.85546875" style="2" customWidth="1"/>
    <col min="12" max="12" width="12.42578125" style="2" customWidth="1"/>
    <col min="13" max="13" width="7.5703125" style="2" customWidth="1"/>
    <col min="14" max="14" width="8" style="2" customWidth="1"/>
    <col min="15" max="15" width="7.85546875" style="2" customWidth="1"/>
    <col min="16" max="16" width="7.7109375" style="2" customWidth="1"/>
    <col min="17" max="17" width="9.140625" style="2"/>
    <col min="18" max="18" width="8.7109375" style="2" customWidth="1"/>
    <col min="19" max="16384" width="9.140625" style="2"/>
  </cols>
  <sheetData>
    <row r="1" spans="1:18" ht="11.25" x14ac:dyDescent="0.2"/>
    <row r="2" spans="1:18" ht="11.25" x14ac:dyDescent="0.2"/>
    <row r="3" spans="1:18" ht="11.25" x14ac:dyDescent="0.2"/>
    <row r="4" spans="1:18" ht="11.25" x14ac:dyDescent="0.2"/>
    <row r="5" spans="1:18" ht="12.75" x14ac:dyDescent="0.2">
      <c r="A5" s="44" t="s">
        <v>42</v>
      </c>
    </row>
    <row r="6" spans="1:18" ht="11.25" x14ac:dyDescent="0.2"/>
    <row r="7" spans="1:18" ht="12" x14ac:dyDescent="0.2">
      <c r="A7" s="52">
        <v>45078</v>
      </c>
      <c r="B7" s="52"/>
      <c r="D7" s="14"/>
      <c r="E7" s="14"/>
      <c r="F7" s="14"/>
      <c r="G7" s="14"/>
      <c r="H7" s="14"/>
    </row>
    <row r="8" spans="1:18" ht="11.25" x14ac:dyDescent="0.2"/>
    <row r="9" spans="1:18" ht="15" customHeight="1" x14ac:dyDescent="0.2">
      <c r="A9" s="53"/>
      <c r="B9" s="54" t="s">
        <v>30</v>
      </c>
      <c r="C9" s="54" t="s">
        <v>17</v>
      </c>
      <c r="D9" s="54" t="s">
        <v>31</v>
      </c>
      <c r="E9" s="54" t="s">
        <v>19</v>
      </c>
      <c r="F9" s="54" t="s">
        <v>20</v>
      </c>
      <c r="G9" s="54" t="s">
        <v>21</v>
      </c>
      <c r="H9" s="54" t="s">
        <v>22</v>
      </c>
      <c r="I9" s="54" t="s">
        <v>23</v>
      </c>
      <c r="J9" s="54" t="s">
        <v>24</v>
      </c>
      <c r="K9" s="54" t="s">
        <v>48</v>
      </c>
      <c r="L9" s="54" t="s">
        <v>45</v>
      </c>
      <c r="M9" s="54" t="s">
        <v>25</v>
      </c>
      <c r="N9" s="54" t="s">
        <v>26</v>
      </c>
      <c r="O9" s="55" t="s">
        <v>27</v>
      </c>
      <c r="P9" s="55" t="s">
        <v>28</v>
      </c>
      <c r="Q9" s="55" t="s">
        <v>29</v>
      </c>
      <c r="R9" s="56" t="s">
        <v>1</v>
      </c>
    </row>
    <row r="10" spans="1:18" ht="11.25" customHeight="1" x14ac:dyDescent="0.2">
      <c r="A10" s="53"/>
      <c r="B10" s="54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5"/>
      <c r="P10" s="55"/>
      <c r="Q10" s="55"/>
      <c r="R10" s="56"/>
    </row>
    <row r="11" spans="1:18" ht="11.25" customHeight="1" x14ac:dyDescent="0.2">
      <c r="A11" s="53"/>
      <c r="B11" s="54"/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5"/>
      <c r="P11" s="55"/>
      <c r="Q11" s="55"/>
      <c r="R11" s="56"/>
    </row>
    <row r="12" spans="1:18" ht="23.25" customHeight="1" x14ac:dyDescent="0.2">
      <c r="A12" s="15">
        <v>45078</v>
      </c>
      <c r="B12" s="16">
        <f>29.4+147+29.4+29.4+29.4+147+147+14.7+14.7+29.4+147+29.4+29.4+29.4+29.4</f>
        <v>882</v>
      </c>
      <c r="C12" s="16">
        <f>7.7+7.36+9.34+2.42+6.62+8.54+1.17+28.51+13.77+10.97+17.84+18.71+169.08+11.16+9.73+12.16+4.16+11.84</f>
        <v>351.08000000000004</v>
      </c>
      <c r="D12" s="16">
        <f>82.1+82.1+123.3+82.1+204.25+82.1+410.5+410.5+102.12</f>
        <v>1579.0700000000002</v>
      </c>
      <c r="E12" s="16">
        <f>93.83+103.94+116.82</f>
        <v>314.58999999999997</v>
      </c>
      <c r="F12" s="16"/>
      <c r="G12" s="16"/>
      <c r="H12" s="16"/>
      <c r="I12" s="16">
        <f>2.71+1.84</f>
        <v>4.55</v>
      </c>
      <c r="J12" s="16">
        <f>0.62+0.62+0.62+0.62+0.62+0.62</f>
        <v>3.72</v>
      </c>
      <c r="K12" s="16"/>
      <c r="L12" s="16"/>
      <c r="M12" s="16"/>
      <c r="N12" s="16"/>
      <c r="O12" s="17"/>
      <c r="P12" s="17"/>
      <c r="Q12" s="17"/>
      <c r="R12" s="5">
        <f t="shared" ref="R12:R25" si="0">SUM(B12:N12)</f>
        <v>3135.01</v>
      </c>
    </row>
    <row r="13" spans="1:18" ht="23.25" customHeight="1" x14ac:dyDescent="0.2">
      <c r="A13" s="15">
        <v>45079</v>
      </c>
      <c r="B13" s="16"/>
      <c r="C13" s="16"/>
      <c r="D13" s="16">
        <f>45.83</f>
        <v>45.83</v>
      </c>
      <c r="E13" s="16">
        <f>47.53</f>
        <v>47.53</v>
      </c>
      <c r="F13" s="16"/>
      <c r="G13" s="16"/>
      <c r="H13" s="16"/>
      <c r="I13" s="16"/>
      <c r="J13" s="16">
        <f>0.62</f>
        <v>0.62</v>
      </c>
      <c r="K13" s="16"/>
      <c r="L13" s="16"/>
      <c r="M13" s="16"/>
      <c r="N13" s="16"/>
      <c r="O13" s="17"/>
      <c r="P13" s="17"/>
      <c r="Q13" s="17"/>
      <c r="R13" s="5">
        <f t="shared" si="0"/>
        <v>93.98</v>
      </c>
    </row>
    <row r="14" spans="1:18" ht="24" customHeight="1" x14ac:dyDescent="0.2">
      <c r="A14" s="15">
        <v>45082</v>
      </c>
      <c r="B14" s="18">
        <f>6.84+32.82</f>
        <v>39.659999999999997</v>
      </c>
      <c r="C14" s="18">
        <f>34.06+7.1+7.49</f>
        <v>48.650000000000006</v>
      </c>
      <c r="D14" s="18"/>
      <c r="E14" s="18"/>
      <c r="F14" s="18"/>
      <c r="G14" s="18"/>
      <c r="H14" s="18"/>
      <c r="I14" s="18"/>
      <c r="J14" s="18">
        <f>0.62+0.62</f>
        <v>1.24</v>
      </c>
      <c r="K14" s="18"/>
      <c r="L14" s="18"/>
      <c r="M14" s="18"/>
      <c r="N14" s="18"/>
      <c r="O14" s="17"/>
      <c r="P14" s="17"/>
      <c r="Q14" s="17"/>
      <c r="R14" s="5">
        <f t="shared" si="0"/>
        <v>89.55</v>
      </c>
    </row>
    <row r="15" spans="1:18" ht="24" customHeight="1" x14ac:dyDescent="0.2">
      <c r="A15" s="15">
        <v>45083</v>
      </c>
      <c r="B15" s="18">
        <f>32.82</f>
        <v>32.82</v>
      </c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7"/>
      <c r="P15" s="17"/>
      <c r="Q15" s="17"/>
      <c r="R15" s="5">
        <f t="shared" si="0"/>
        <v>32.82</v>
      </c>
    </row>
    <row r="16" spans="1:18" ht="24" customHeight="1" x14ac:dyDescent="0.2">
      <c r="A16" s="15">
        <v>45084</v>
      </c>
      <c r="B16" s="18">
        <f>32.82+32.82</f>
        <v>65.64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>
        <f>38</f>
        <v>38</v>
      </c>
      <c r="N16" s="18"/>
      <c r="O16" s="17"/>
      <c r="P16" s="17"/>
      <c r="Q16" s="17"/>
      <c r="R16" s="5">
        <f t="shared" si="0"/>
        <v>103.64</v>
      </c>
    </row>
    <row r="17" spans="1:20" ht="24" customHeight="1" x14ac:dyDescent="0.2">
      <c r="A17" s="15">
        <v>45089</v>
      </c>
      <c r="B17" s="18">
        <f>30.2+50.68</f>
        <v>80.88</v>
      </c>
      <c r="C17" s="18"/>
      <c r="D17" s="18"/>
      <c r="E17" s="18"/>
      <c r="F17" s="18"/>
      <c r="G17" s="18"/>
      <c r="H17" s="18"/>
      <c r="I17" s="18"/>
      <c r="J17" s="18">
        <f>0.62+0.62</f>
        <v>1.24</v>
      </c>
      <c r="K17" s="18"/>
      <c r="L17" s="18"/>
      <c r="M17" s="18"/>
      <c r="N17" s="18"/>
      <c r="O17" s="17"/>
      <c r="P17" s="17"/>
      <c r="Q17" s="17"/>
      <c r="R17" s="5">
        <f t="shared" si="0"/>
        <v>82.11999999999999</v>
      </c>
    </row>
    <row r="18" spans="1:20" ht="24" customHeight="1" x14ac:dyDescent="0.2">
      <c r="A18" s="15">
        <v>45096</v>
      </c>
      <c r="B18" s="18">
        <f>41.03+6.84</f>
        <v>47.870000000000005</v>
      </c>
      <c r="C18" s="18">
        <f>34.72+34.8+10.34+7.1+8.56+9.62+9.47</f>
        <v>114.61</v>
      </c>
      <c r="D18" s="18">
        <f>410.5</f>
        <v>410.5</v>
      </c>
      <c r="E18" s="18"/>
      <c r="F18" s="18"/>
      <c r="G18" s="18">
        <f>61.75</f>
        <v>61.75</v>
      </c>
      <c r="H18" s="18"/>
      <c r="I18" s="18"/>
      <c r="J18" s="18">
        <f>0.62+0.62</f>
        <v>1.24</v>
      </c>
      <c r="K18" s="18">
        <f>53.5</f>
        <v>53.5</v>
      </c>
      <c r="L18" s="18">
        <f>20.75</f>
        <v>20.75</v>
      </c>
      <c r="M18" s="18">
        <f>31.5</f>
        <v>31.5</v>
      </c>
      <c r="N18" s="18"/>
      <c r="O18" s="17"/>
      <c r="P18" s="17"/>
      <c r="Q18" s="17"/>
      <c r="R18" s="5">
        <f t="shared" si="0"/>
        <v>741.72</v>
      </c>
    </row>
    <row r="19" spans="1:20" ht="24" customHeight="1" x14ac:dyDescent="0.2">
      <c r="A19" s="15">
        <v>45097</v>
      </c>
      <c r="B19" s="18">
        <f>19.08+19.23+20.52</f>
        <v>58.83</v>
      </c>
      <c r="C19" s="18">
        <f>12.24+12.34+14.16</f>
        <v>38.739999999999995</v>
      </c>
      <c r="D19" s="18"/>
      <c r="E19" s="18"/>
      <c r="F19" s="18"/>
      <c r="G19" s="18"/>
      <c r="H19" s="18"/>
      <c r="I19" s="18"/>
      <c r="J19" s="18">
        <f>0.62+0.62+0.62</f>
        <v>1.8599999999999999</v>
      </c>
      <c r="K19" s="18"/>
      <c r="L19" s="18"/>
      <c r="M19" s="18"/>
      <c r="N19" s="18"/>
      <c r="O19" s="17"/>
      <c r="P19" s="17"/>
      <c r="Q19" s="17"/>
      <c r="R19" s="5">
        <f t="shared" si="0"/>
        <v>99.429999999999993</v>
      </c>
    </row>
    <row r="20" spans="1:20" ht="24" customHeight="1" x14ac:dyDescent="0.2">
      <c r="A20" s="15">
        <v>45098</v>
      </c>
      <c r="B20" s="18">
        <f>32.82</f>
        <v>32.82</v>
      </c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7"/>
      <c r="P20" s="17"/>
      <c r="Q20" s="17"/>
      <c r="R20" s="5">
        <f t="shared" si="0"/>
        <v>32.82</v>
      </c>
    </row>
    <row r="21" spans="1:20" ht="24" customHeight="1" x14ac:dyDescent="0.2">
      <c r="A21" s="15">
        <v>45099</v>
      </c>
      <c r="B21" s="18">
        <f>41.03</f>
        <v>41.03</v>
      </c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>
        <f>38</f>
        <v>38</v>
      </c>
      <c r="N21" s="18"/>
      <c r="O21" s="17"/>
      <c r="P21" s="17"/>
      <c r="Q21" s="17"/>
      <c r="R21" s="5">
        <f t="shared" si="0"/>
        <v>79.03</v>
      </c>
    </row>
    <row r="22" spans="1:20" ht="24" customHeight="1" x14ac:dyDescent="0.2">
      <c r="A22" s="15">
        <v>45100</v>
      </c>
      <c r="B22" s="18">
        <f>149.36</f>
        <v>149.36000000000001</v>
      </c>
      <c r="C22" s="18">
        <f>70.22+79.17+89.72+85.39+85.8+89.36+87.72+89.26</f>
        <v>676.64</v>
      </c>
      <c r="D22" s="18"/>
      <c r="E22" s="18"/>
      <c r="F22" s="18"/>
      <c r="G22" s="18"/>
      <c r="H22" s="18"/>
      <c r="I22" s="18"/>
      <c r="J22" s="18">
        <f>0.62</f>
        <v>0.62</v>
      </c>
      <c r="K22" s="18"/>
      <c r="L22" s="18"/>
      <c r="M22" s="18">
        <f>38</f>
        <v>38</v>
      </c>
      <c r="N22" s="18"/>
      <c r="O22" s="17"/>
      <c r="P22" s="17"/>
      <c r="Q22" s="17"/>
      <c r="R22" s="5">
        <f t="shared" si="0"/>
        <v>864.62</v>
      </c>
    </row>
    <row r="23" spans="1:20" ht="24" customHeight="1" x14ac:dyDescent="0.2">
      <c r="A23" s="15">
        <v>45103</v>
      </c>
      <c r="B23" s="18">
        <f>54.71</f>
        <v>54.71</v>
      </c>
      <c r="C23" s="18"/>
      <c r="D23" s="18">
        <f>204.25</f>
        <v>204.25</v>
      </c>
      <c r="E23" s="18"/>
      <c r="F23" s="18"/>
      <c r="G23" s="18">
        <f>61.75</f>
        <v>61.75</v>
      </c>
      <c r="H23" s="18"/>
      <c r="I23" s="18"/>
      <c r="J23" s="18">
        <f>0.62</f>
        <v>0.62</v>
      </c>
      <c r="K23" s="18"/>
      <c r="L23" s="18"/>
      <c r="M23" s="18"/>
      <c r="N23" s="18"/>
      <c r="O23" s="17"/>
      <c r="P23" s="17"/>
      <c r="Q23" s="17"/>
      <c r="R23" s="5">
        <f t="shared" si="0"/>
        <v>321.33</v>
      </c>
    </row>
    <row r="24" spans="1:20" ht="24" customHeight="1" x14ac:dyDescent="0.2">
      <c r="A24" s="15">
        <v>45105</v>
      </c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>
        <f>38</f>
        <v>38</v>
      </c>
      <c r="N24" s="18"/>
      <c r="O24" s="17"/>
      <c r="P24" s="17"/>
      <c r="Q24" s="17"/>
      <c r="R24" s="5">
        <f t="shared" si="0"/>
        <v>38</v>
      </c>
    </row>
    <row r="25" spans="1:20" ht="24" customHeight="1" x14ac:dyDescent="0.2">
      <c r="A25" s="15">
        <v>45106</v>
      </c>
      <c r="B25" s="18"/>
      <c r="C25" s="18"/>
      <c r="D25" s="18"/>
      <c r="E25" s="18">
        <f>20.67+17.75</f>
        <v>38.42</v>
      </c>
      <c r="F25" s="18"/>
      <c r="G25" s="18"/>
      <c r="H25" s="18"/>
      <c r="I25" s="18"/>
      <c r="J25" s="18">
        <f>0.62</f>
        <v>0.62</v>
      </c>
      <c r="K25" s="18"/>
      <c r="L25" s="18"/>
      <c r="M25" s="18">
        <f>38</f>
        <v>38</v>
      </c>
      <c r="N25" s="18"/>
      <c r="O25" s="17"/>
      <c r="P25" s="17"/>
      <c r="Q25" s="17"/>
      <c r="R25" s="5">
        <f t="shared" si="0"/>
        <v>77.039999999999992</v>
      </c>
    </row>
    <row r="26" spans="1:20" ht="24" customHeight="1" x14ac:dyDescent="0.2">
      <c r="A26" s="30" t="s">
        <v>2</v>
      </c>
      <c r="B26" s="39">
        <f t="shared" ref="B26:R26" si="1">SUM(B12:B25)</f>
        <v>1485.62</v>
      </c>
      <c r="C26" s="39">
        <f t="shared" si="1"/>
        <v>1229.72</v>
      </c>
      <c r="D26" s="39">
        <f t="shared" si="1"/>
        <v>2239.65</v>
      </c>
      <c r="E26" s="39">
        <f t="shared" si="1"/>
        <v>400.54</v>
      </c>
      <c r="F26" s="39">
        <f t="shared" si="1"/>
        <v>0</v>
      </c>
      <c r="G26" s="39">
        <f t="shared" si="1"/>
        <v>123.5</v>
      </c>
      <c r="H26" s="39">
        <f t="shared" si="1"/>
        <v>0</v>
      </c>
      <c r="I26" s="39">
        <f t="shared" si="1"/>
        <v>4.55</v>
      </c>
      <c r="J26" s="39">
        <f t="shared" si="1"/>
        <v>11.779999999999998</v>
      </c>
      <c r="K26" s="39">
        <f t="shared" si="1"/>
        <v>53.5</v>
      </c>
      <c r="L26" s="39">
        <f t="shared" si="1"/>
        <v>20.75</v>
      </c>
      <c r="M26" s="39">
        <f t="shared" si="1"/>
        <v>221.5</v>
      </c>
      <c r="N26" s="39">
        <f t="shared" si="1"/>
        <v>0</v>
      </c>
      <c r="O26" s="46">
        <f t="shared" si="1"/>
        <v>0</v>
      </c>
      <c r="P26" s="46">
        <f t="shared" si="1"/>
        <v>0</v>
      </c>
      <c r="Q26" s="46">
        <f t="shared" si="1"/>
        <v>0</v>
      </c>
      <c r="R26" s="47">
        <f t="shared" si="1"/>
        <v>5791.11</v>
      </c>
      <c r="T26" s="29"/>
    </row>
    <row r="27" spans="1:20" ht="12" customHeight="1" x14ac:dyDescent="0.2">
      <c r="A27" s="25"/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58" t="s">
        <v>46</v>
      </c>
      <c r="O27" s="58"/>
      <c r="P27" s="58"/>
      <c r="Q27" s="58"/>
      <c r="R27" s="58"/>
    </row>
    <row r="28" spans="1:20" ht="24" customHeight="1" x14ac:dyDescent="0.2">
      <c r="A28" s="25"/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7"/>
    </row>
    <row r="29" spans="1:20" ht="24" customHeight="1" x14ac:dyDescent="0.2">
      <c r="A29" s="25"/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7"/>
    </row>
    <row r="30" spans="1:20" ht="11.25" x14ac:dyDescent="0.2"/>
    <row r="31" spans="1:20" ht="11.25" x14ac:dyDescent="0.2"/>
    <row r="32" spans="1:20" ht="11.25" x14ac:dyDescent="0.2"/>
    <row r="33" ht="11.25" x14ac:dyDescent="0.2"/>
    <row r="34" ht="11.25" x14ac:dyDescent="0.2"/>
    <row r="35" ht="11.25" x14ac:dyDescent="0.2"/>
    <row r="36" ht="11.25" x14ac:dyDescent="0.2"/>
    <row r="37" ht="11.25" x14ac:dyDescent="0.2"/>
    <row r="38" ht="11.25" x14ac:dyDescent="0.2"/>
    <row r="39" ht="11.25" x14ac:dyDescent="0.2"/>
    <row r="40" ht="11.25" x14ac:dyDescent="0.2"/>
    <row r="41" ht="11.25" x14ac:dyDescent="0.2"/>
    <row r="42" ht="11.25" x14ac:dyDescent="0.2"/>
    <row r="43" ht="11.25" x14ac:dyDescent="0.2"/>
    <row r="44" ht="11.25" x14ac:dyDescent="0.2"/>
  </sheetData>
  <mergeCells count="20">
    <mergeCell ref="N27:R27"/>
    <mergeCell ref="K9:K11"/>
    <mergeCell ref="L9:L11"/>
    <mergeCell ref="N9:N11"/>
    <mergeCell ref="O9:O11"/>
    <mergeCell ref="P9:P11"/>
    <mergeCell ref="Q9:Q11"/>
    <mergeCell ref="R9:R11"/>
    <mergeCell ref="M9:M11"/>
    <mergeCell ref="J9:J11"/>
    <mergeCell ref="A9:A11"/>
    <mergeCell ref="B9:B11"/>
    <mergeCell ref="C9:C11"/>
    <mergeCell ref="D9:D11"/>
    <mergeCell ref="E9:E11"/>
    <mergeCell ref="A7:B7"/>
    <mergeCell ref="F9:F11"/>
    <mergeCell ref="G9:G11"/>
    <mergeCell ref="H9:H11"/>
    <mergeCell ref="I9:I11"/>
  </mergeCells>
  <printOptions horizontalCentered="1"/>
  <pageMargins left="0.19685039370078741" right="0.19685039370078741" top="0.19685039370078741" bottom="0.19685039370078741" header="0.51181102362204722" footer="0.51181102362204722"/>
  <pageSetup paperSize="9" scale="90" fitToWidth="0" orientation="landscape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P29"/>
  <sheetViews>
    <sheetView tabSelected="1" topLeftCell="A4" zoomScaleNormal="100" workbookViewId="0">
      <pane xSplit="1" ySplit="5" topLeftCell="N9" activePane="bottomRight" state="frozen"/>
      <selection activeCell="A4" sqref="A4"/>
      <selection pane="topRight" activeCell="B4" sqref="B4"/>
      <selection pane="bottomLeft" activeCell="A25" sqref="A25"/>
      <selection pane="bottomRight" activeCell="Q16" sqref="Q16"/>
    </sheetView>
  </sheetViews>
  <sheetFormatPr defaultColWidth="9.140625" defaultRowHeight="11.25" x14ac:dyDescent="0.2"/>
  <cols>
    <col min="1" max="1" width="8.85546875" style="2" customWidth="1"/>
    <col min="2" max="2" width="7.85546875" style="2" customWidth="1"/>
    <col min="3" max="3" width="8.42578125" style="2" customWidth="1"/>
    <col min="4" max="4" width="9" style="2" customWidth="1"/>
    <col min="5" max="5" width="8.85546875" style="2" customWidth="1"/>
    <col min="6" max="6" width="8.5703125" style="2" customWidth="1"/>
    <col min="7" max="7" width="6.42578125" style="2" customWidth="1"/>
    <col min="8" max="9" width="8" style="2" customWidth="1"/>
    <col min="10" max="10" width="8.7109375" style="2" customWidth="1"/>
    <col min="11" max="11" width="7.5703125" style="2" customWidth="1"/>
    <col min="12" max="12" width="8" style="2" customWidth="1"/>
    <col min="13" max="13" width="7.85546875" style="2" customWidth="1"/>
    <col min="14" max="14" width="7.7109375" style="2" customWidth="1"/>
    <col min="15" max="15" width="9.140625" style="2"/>
    <col min="16" max="16" width="8.7109375" style="2" customWidth="1"/>
    <col min="17" max="16384" width="9.140625" style="2"/>
  </cols>
  <sheetData>
    <row r="5" spans="1:16" ht="12.75" x14ac:dyDescent="0.2">
      <c r="A5" s="44" t="s">
        <v>42</v>
      </c>
    </row>
    <row r="7" spans="1:16" ht="12" x14ac:dyDescent="0.2">
      <c r="A7" s="52">
        <v>45108</v>
      </c>
      <c r="B7" s="52"/>
      <c r="D7" s="14"/>
      <c r="E7" s="14"/>
      <c r="F7" s="14"/>
      <c r="G7" s="14"/>
      <c r="H7" s="14"/>
    </row>
    <row r="9" spans="1:16" ht="15" customHeight="1" x14ac:dyDescent="0.2">
      <c r="A9" s="53"/>
      <c r="B9" s="54" t="s">
        <v>30</v>
      </c>
      <c r="C9" s="54" t="s">
        <v>17</v>
      </c>
      <c r="D9" s="54" t="s">
        <v>31</v>
      </c>
      <c r="E9" s="54" t="s">
        <v>19</v>
      </c>
      <c r="F9" s="54" t="s">
        <v>20</v>
      </c>
      <c r="G9" s="54" t="s">
        <v>21</v>
      </c>
      <c r="H9" s="54" t="s">
        <v>22</v>
      </c>
      <c r="I9" s="54" t="s">
        <v>23</v>
      </c>
      <c r="J9" s="54" t="s">
        <v>24</v>
      </c>
      <c r="K9" s="54" t="s">
        <v>25</v>
      </c>
      <c r="L9" s="54" t="s">
        <v>26</v>
      </c>
      <c r="M9" s="55" t="s">
        <v>27</v>
      </c>
      <c r="N9" s="55" t="s">
        <v>28</v>
      </c>
      <c r="O9" s="55" t="s">
        <v>29</v>
      </c>
      <c r="P9" s="56" t="s">
        <v>1</v>
      </c>
    </row>
    <row r="10" spans="1:16" ht="11.25" customHeight="1" x14ac:dyDescent="0.2">
      <c r="A10" s="53"/>
      <c r="B10" s="54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5"/>
      <c r="N10" s="55"/>
      <c r="O10" s="55"/>
      <c r="P10" s="56"/>
    </row>
    <row r="11" spans="1:16" ht="11.25" customHeight="1" x14ac:dyDescent="0.2">
      <c r="A11" s="53"/>
      <c r="B11" s="54"/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5"/>
      <c r="N11" s="55"/>
      <c r="O11" s="55"/>
      <c r="P11" s="56"/>
    </row>
    <row r="12" spans="1:16" ht="24" customHeight="1" x14ac:dyDescent="0.2">
      <c r="A12" s="15">
        <v>45110</v>
      </c>
      <c r="B12" s="18">
        <f>15.26+37.75+12.82</f>
        <v>65.83</v>
      </c>
      <c r="C12" s="18">
        <f>28.7+13.86+10.97+17.94+18.82+11.91+4.18+12.25+11.24+9.81+12.27</f>
        <v>151.95000000000002</v>
      </c>
      <c r="D12" s="18">
        <f>15.94</f>
        <v>15.94</v>
      </c>
      <c r="E12" s="18">
        <f>18.28+16.54+20.52</f>
        <v>55.34</v>
      </c>
      <c r="F12" s="18"/>
      <c r="G12" s="18"/>
      <c r="H12" s="18"/>
      <c r="I12" s="18">
        <f>0.58</f>
        <v>0.57999999999999996</v>
      </c>
      <c r="J12" s="18">
        <f>0.62+0.62+0.62+0.62+0.62</f>
        <v>3.1</v>
      </c>
      <c r="K12" s="18"/>
      <c r="L12" s="18"/>
      <c r="M12" s="17"/>
      <c r="N12" s="17"/>
      <c r="O12" s="17"/>
      <c r="P12" s="5">
        <f>SUM(B12:O12)</f>
        <v>292.74000000000007</v>
      </c>
    </row>
    <row r="13" spans="1:16" ht="24" customHeight="1" x14ac:dyDescent="0.2">
      <c r="A13" s="15">
        <v>45111</v>
      </c>
      <c r="B13" s="18">
        <f>73.5</f>
        <v>73.5</v>
      </c>
      <c r="C13" s="18"/>
      <c r="D13" s="18"/>
      <c r="E13" s="18"/>
      <c r="F13" s="18">
        <f>20.5</f>
        <v>20.5</v>
      </c>
      <c r="G13" s="18"/>
      <c r="H13" s="18">
        <v>20.5</v>
      </c>
      <c r="I13" s="18"/>
      <c r="J13" s="18"/>
      <c r="K13" s="18"/>
      <c r="L13" s="18"/>
      <c r="M13" s="17"/>
      <c r="N13" s="17"/>
      <c r="O13" s="17"/>
      <c r="P13" s="5">
        <f t="shared" ref="P13:P25" si="0">SUM(B13:O13)</f>
        <v>114.5</v>
      </c>
    </row>
    <row r="14" spans="1:16" ht="24" customHeight="1" x14ac:dyDescent="0.2">
      <c r="A14" s="15">
        <v>45112</v>
      </c>
      <c r="B14" s="18">
        <f>6.56+6.94</f>
        <v>13.5</v>
      </c>
      <c r="C14" s="18">
        <f>6.46+6.58+7.56+7.18</f>
        <v>27.779999999999998</v>
      </c>
      <c r="D14" s="18">
        <f>19.38</f>
        <v>19.38</v>
      </c>
      <c r="E14" s="18">
        <f>29.02+20.02+24.1+27.04+31.69+16.6</f>
        <v>148.47</v>
      </c>
      <c r="F14" s="18">
        <f>20.5</f>
        <v>20.5</v>
      </c>
      <c r="G14" s="18"/>
      <c r="H14" s="18"/>
      <c r="I14" s="18"/>
      <c r="J14" s="18">
        <f>0.62+0.62+0.62</f>
        <v>1.8599999999999999</v>
      </c>
      <c r="K14" s="18"/>
      <c r="L14" s="18"/>
      <c r="M14" s="17"/>
      <c r="N14" s="17"/>
      <c r="O14" s="17"/>
      <c r="P14" s="5">
        <f t="shared" si="0"/>
        <v>231.49</v>
      </c>
    </row>
    <row r="15" spans="1:16" ht="24" customHeight="1" x14ac:dyDescent="0.2">
      <c r="A15" s="15">
        <v>45113</v>
      </c>
      <c r="B15" s="18"/>
      <c r="C15" s="18"/>
      <c r="D15" s="18">
        <f>46.51</f>
        <v>46.51</v>
      </c>
      <c r="E15" s="18">
        <f>48.03</f>
        <v>48.03</v>
      </c>
      <c r="F15" s="18">
        <f>20.5</f>
        <v>20.5</v>
      </c>
      <c r="G15" s="18"/>
      <c r="H15" s="18"/>
      <c r="I15" s="18"/>
      <c r="J15" s="18">
        <f>0.62</f>
        <v>0.62</v>
      </c>
      <c r="K15" s="18"/>
      <c r="L15" s="18"/>
      <c r="M15" s="17"/>
      <c r="N15" s="17"/>
      <c r="O15" s="17"/>
      <c r="P15" s="5">
        <f t="shared" si="0"/>
        <v>115.66</v>
      </c>
    </row>
    <row r="16" spans="1:16" ht="24" customHeight="1" x14ac:dyDescent="0.2">
      <c r="A16" s="15">
        <v>45117</v>
      </c>
      <c r="B16" s="18"/>
      <c r="C16" s="18"/>
      <c r="D16" s="18"/>
      <c r="E16" s="18"/>
      <c r="F16" s="18">
        <v>20.5</v>
      </c>
      <c r="G16" s="18"/>
      <c r="H16" s="18"/>
      <c r="I16" s="18"/>
      <c r="J16" s="18"/>
      <c r="K16" s="18"/>
      <c r="L16" s="18"/>
      <c r="M16" s="17"/>
      <c r="N16" s="17"/>
      <c r="O16" s="17"/>
      <c r="P16" s="5">
        <f t="shared" si="0"/>
        <v>20.5</v>
      </c>
    </row>
    <row r="17" spans="1:16" ht="24" customHeight="1" x14ac:dyDescent="0.2">
      <c r="A17" s="15">
        <v>45118</v>
      </c>
      <c r="B17" s="18">
        <f>166.56+30.41</f>
        <v>196.97</v>
      </c>
      <c r="C17" s="18"/>
      <c r="D17" s="18"/>
      <c r="E17" s="18"/>
      <c r="F17" s="18"/>
      <c r="G17" s="18"/>
      <c r="H17" s="18"/>
      <c r="I17" s="18"/>
      <c r="J17" s="18">
        <v>0.62</v>
      </c>
      <c r="K17" s="18"/>
      <c r="L17" s="18"/>
      <c r="M17" s="17"/>
      <c r="N17" s="17"/>
      <c r="O17" s="17"/>
      <c r="P17" s="5">
        <f t="shared" si="0"/>
        <v>197.59</v>
      </c>
    </row>
    <row r="18" spans="1:16" ht="24" customHeight="1" x14ac:dyDescent="0.2">
      <c r="A18" s="15">
        <v>45119</v>
      </c>
      <c r="B18" s="18"/>
      <c r="C18" s="18"/>
      <c r="D18" s="18"/>
      <c r="E18" s="18"/>
      <c r="F18" s="18"/>
      <c r="G18" s="18"/>
      <c r="H18" s="18"/>
      <c r="I18" s="18"/>
      <c r="J18" s="18"/>
      <c r="K18" s="18">
        <v>38</v>
      </c>
      <c r="L18" s="18"/>
      <c r="M18" s="17"/>
      <c r="N18" s="17"/>
      <c r="O18" s="17"/>
      <c r="P18" s="5">
        <f t="shared" si="0"/>
        <v>38</v>
      </c>
    </row>
    <row r="19" spans="1:16" ht="24" customHeight="1" x14ac:dyDescent="0.2">
      <c r="A19" s="15">
        <v>45121</v>
      </c>
      <c r="B19" s="18"/>
      <c r="C19" s="18">
        <f>5.14+4.93+6.75+7.73+7.96+7.42+6.62+5.49+102.73</f>
        <v>154.77000000000001</v>
      </c>
      <c r="D19" s="18">
        <f>204.25</f>
        <v>204.25</v>
      </c>
      <c r="E19" s="18"/>
      <c r="F19" s="18"/>
      <c r="G19" s="18">
        <f>61.75</f>
        <v>61.75</v>
      </c>
      <c r="H19" s="18"/>
      <c r="I19" s="18"/>
      <c r="J19" s="18">
        <f>0.62+0.62</f>
        <v>1.24</v>
      </c>
      <c r="K19" s="18"/>
      <c r="L19" s="18"/>
      <c r="M19" s="17"/>
      <c r="N19" s="17"/>
      <c r="O19" s="17"/>
      <c r="P19" s="5">
        <f t="shared" si="0"/>
        <v>422.01</v>
      </c>
    </row>
    <row r="20" spans="1:16" ht="24" customHeight="1" x14ac:dyDescent="0.2">
      <c r="A20" s="15">
        <v>45125</v>
      </c>
      <c r="B20" s="18">
        <f>37.79</f>
        <v>37.79</v>
      </c>
      <c r="C20" s="18"/>
      <c r="D20" s="18"/>
      <c r="E20" s="18"/>
      <c r="F20" s="18"/>
      <c r="G20" s="18"/>
      <c r="H20" s="18"/>
      <c r="I20" s="18"/>
      <c r="J20" s="18">
        <v>0.63</v>
      </c>
      <c r="K20" s="18"/>
      <c r="L20" s="18"/>
      <c r="M20" s="17"/>
      <c r="N20" s="17"/>
      <c r="O20" s="17"/>
      <c r="P20" s="5">
        <f t="shared" si="0"/>
        <v>38.42</v>
      </c>
    </row>
    <row r="21" spans="1:16" ht="24" customHeight="1" x14ac:dyDescent="0.2">
      <c r="A21" s="15">
        <v>45131</v>
      </c>
      <c r="B21" s="18"/>
      <c r="C21" s="18"/>
      <c r="D21" s="18"/>
      <c r="E21" s="18"/>
      <c r="F21" s="18"/>
      <c r="G21" s="18"/>
      <c r="H21" s="18"/>
      <c r="I21" s="18"/>
      <c r="J21" s="18"/>
      <c r="K21" s="18">
        <v>38</v>
      </c>
      <c r="L21" s="18"/>
      <c r="M21" s="17"/>
      <c r="N21" s="17"/>
      <c r="O21" s="17"/>
      <c r="P21" s="5">
        <f t="shared" si="0"/>
        <v>38</v>
      </c>
    </row>
    <row r="22" spans="1:16" ht="24" customHeight="1" x14ac:dyDescent="0.2">
      <c r="A22" s="15">
        <v>45132</v>
      </c>
      <c r="B22" s="18"/>
      <c r="C22" s="18">
        <f>2.44+6.68+7.76+7.44+9.45+8.65+1.19</f>
        <v>43.609999999999992</v>
      </c>
      <c r="D22" s="18">
        <v>18.309999999999999</v>
      </c>
      <c r="E22" s="18">
        <f>20.84+13.05+25.42+23.8+22.92+17.91</f>
        <v>123.94</v>
      </c>
      <c r="F22" s="18"/>
      <c r="G22" s="18"/>
      <c r="H22" s="18"/>
      <c r="I22" s="18">
        <f>1.85+2.73</f>
        <v>4.58</v>
      </c>
      <c r="J22" s="18">
        <f>0.62+0.62</f>
        <v>1.24</v>
      </c>
      <c r="K22" s="18"/>
      <c r="L22" s="18"/>
      <c r="M22" s="17"/>
      <c r="N22" s="17"/>
      <c r="O22" s="17"/>
      <c r="P22" s="5">
        <f t="shared" si="0"/>
        <v>191.68</v>
      </c>
    </row>
    <row r="23" spans="1:16" ht="24" customHeight="1" x14ac:dyDescent="0.2">
      <c r="A23" s="15">
        <v>45134</v>
      </c>
      <c r="B23" s="18"/>
      <c r="C23" s="18"/>
      <c r="D23" s="18"/>
      <c r="E23" s="18"/>
      <c r="F23" s="18">
        <f>20.5</f>
        <v>20.5</v>
      </c>
      <c r="G23" s="18"/>
      <c r="H23" s="18"/>
      <c r="I23" s="18"/>
      <c r="J23" s="18"/>
      <c r="K23" s="18"/>
      <c r="L23" s="18"/>
      <c r="M23" s="17"/>
      <c r="N23" s="17"/>
      <c r="O23" s="17"/>
      <c r="P23" s="5">
        <f t="shared" si="0"/>
        <v>20.5</v>
      </c>
    </row>
    <row r="24" spans="1:16" ht="24" customHeight="1" x14ac:dyDescent="0.2">
      <c r="A24" s="15">
        <v>45135</v>
      </c>
      <c r="B24" s="18">
        <f>12.12+73.5</f>
        <v>85.62</v>
      </c>
      <c r="C24" s="18">
        <f>9.02+7.98+6.07</f>
        <v>23.07</v>
      </c>
      <c r="D24" s="18"/>
      <c r="E24" s="18"/>
      <c r="F24" s="18">
        <f>20.5</f>
        <v>20.5</v>
      </c>
      <c r="G24" s="18"/>
      <c r="H24" s="18">
        <f>20.5</f>
        <v>20.5</v>
      </c>
      <c r="I24" s="18"/>
      <c r="J24" s="18">
        <f>0.62</f>
        <v>0.62</v>
      </c>
      <c r="K24" s="18"/>
      <c r="L24" s="18"/>
      <c r="M24" s="17"/>
      <c r="N24" s="17"/>
      <c r="O24" s="17"/>
      <c r="P24" s="5">
        <f t="shared" si="0"/>
        <v>150.31</v>
      </c>
    </row>
    <row r="25" spans="1:16" ht="24" customHeight="1" x14ac:dyDescent="0.2">
      <c r="A25" s="15">
        <v>45138</v>
      </c>
      <c r="B25" s="18"/>
      <c r="C25" s="18"/>
      <c r="D25" s="18">
        <f>92.85+16.18</f>
        <v>109.03</v>
      </c>
      <c r="E25" s="18">
        <f>20.84+17.91+69.73+64.97+57.92+96+20.73+18.48+16.75</f>
        <v>383.33000000000004</v>
      </c>
      <c r="F25" s="18"/>
      <c r="G25" s="18"/>
      <c r="H25" s="18"/>
      <c r="I25" s="18"/>
      <c r="J25" s="18">
        <f>0.62+0.62+0.62</f>
        <v>1.8599999999999999</v>
      </c>
      <c r="K25" s="18"/>
      <c r="L25" s="18"/>
      <c r="M25" s="17"/>
      <c r="N25" s="17"/>
      <c r="O25" s="17"/>
      <c r="P25" s="5">
        <f t="shared" si="0"/>
        <v>494.22</v>
      </c>
    </row>
    <row r="26" spans="1:16" ht="24" customHeight="1" x14ac:dyDescent="0.2">
      <c r="A26" s="30" t="s">
        <v>2</v>
      </c>
      <c r="B26" s="39">
        <f>SUM(B12:B25)</f>
        <v>473.21</v>
      </c>
      <c r="C26" s="39">
        <f>SUM(C12:C25)</f>
        <v>401.18</v>
      </c>
      <c r="D26" s="39">
        <f>SUM(D12:D25)</f>
        <v>413.41999999999996</v>
      </c>
      <c r="E26" s="39">
        <f>SUM(E12:E25)</f>
        <v>759.11</v>
      </c>
      <c r="F26" s="39">
        <f>SUM(F12:F25)</f>
        <v>123</v>
      </c>
      <c r="G26" s="39">
        <f>SUM(G12:G25)</f>
        <v>61.75</v>
      </c>
      <c r="H26" s="39">
        <f>SUM(H12:H25)</f>
        <v>41</v>
      </c>
      <c r="I26" s="39">
        <f>SUM(I12:I25)</f>
        <v>5.16</v>
      </c>
      <c r="J26" s="39">
        <f>SUM(J12:J25)</f>
        <v>11.79</v>
      </c>
      <c r="K26" s="39">
        <f>SUM(K12:K25)</f>
        <v>76</v>
      </c>
      <c r="L26" s="39">
        <f>SUM(L12:L25)</f>
        <v>0</v>
      </c>
      <c r="M26" s="41">
        <f>SUM(M12:M25)</f>
        <v>0</v>
      </c>
      <c r="N26" s="41">
        <f>SUM(N12:N25)</f>
        <v>0</v>
      </c>
      <c r="O26" s="41">
        <f>SUM(O12:O25)</f>
        <v>0</v>
      </c>
      <c r="P26" s="36">
        <f>SUM(P12:P25)</f>
        <v>2365.62</v>
      </c>
    </row>
    <row r="27" spans="1:16" ht="12" customHeight="1" x14ac:dyDescent="0.2">
      <c r="A27" s="25"/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57" t="s">
        <v>47</v>
      </c>
      <c r="M27" s="57"/>
      <c r="N27" s="57"/>
      <c r="O27" s="57"/>
      <c r="P27" s="57"/>
    </row>
    <row r="28" spans="1:16" ht="24" customHeight="1" x14ac:dyDescent="0.2">
      <c r="A28" s="25"/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7"/>
    </row>
    <row r="29" spans="1:16" ht="24" customHeight="1" x14ac:dyDescent="0.2">
      <c r="A29" s="25"/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7"/>
    </row>
  </sheetData>
  <mergeCells count="18">
    <mergeCell ref="M9:M11"/>
    <mergeCell ref="N9:N11"/>
    <mergeCell ref="L27:P27"/>
    <mergeCell ref="A7:B7"/>
    <mergeCell ref="A9:A11"/>
    <mergeCell ref="B9:B11"/>
    <mergeCell ref="C9:C11"/>
    <mergeCell ref="D9:D11"/>
    <mergeCell ref="E9:E11"/>
    <mergeCell ref="F9:F11"/>
    <mergeCell ref="G9:G11"/>
    <mergeCell ref="H9:H11"/>
    <mergeCell ref="I9:I11"/>
    <mergeCell ref="O9:O11"/>
    <mergeCell ref="P9:P11"/>
    <mergeCell ref="J9:J11"/>
    <mergeCell ref="K9:K11"/>
    <mergeCell ref="L9:L11"/>
  </mergeCells>
  <printOptions horizontalCentered="1"/>
  <pageMargins left="0.19685039370078741" right="0.19685039370078741" top="0.19685039370078741" bottom="0.19685039370078741" header="0.19685039370078741" footer="0.19685039370078741"/>
  <pageSetup paperSize="9" scale="95" fitToWidth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P29"/>
  <sheetViews>
    <sheetView topLeftCell="A4" zoomScaleNormal="100" workbookViewId="0">
      <pane xSplit="1" ySplit="8" topLeftCell="B12" activePane="bottomRight" state="frozen"/>
      <selection activeCell="A4" sqref="A4"/>
      <selection pane="topRight" activeCell="B4" sqref="B4"/>
      <selection pane="bottomLeft" activeCell="A22" sqref="A22"/>
      <selection pane="bottomRight" activeCell="G29" sqref="G29"/>
    </sheetView>
  </sheetViews>
  <sheetFormatPr defaultColWidth="9.140625" defaultRowHeight="11.25" x14ac:dyDescent="0.2"/>
  <cols>
    <col min="1" max="1" width="8.85546875" style="2" customWidth="1"/>
    <col min="2" max="2" width="7.85546875" style="2" customWidth="1"/>
    <col min="3" max="3" width="8.42578125" style="2" customWidth="1"/>
    <col min="4" max="4" width="9" style="2" customWidth="1"/>
    <col min="5" max="5" width="8.85546875" style="2" customWidth="1"/>
    <col min="6" max="6" width="8.5703125" style="2" customWidth="1"/>
    <col min="7" max="7" width="6.42578125" style="2" customWidth="1"/>
    <col min="8" max="9" width="8" style="2" customWidth="1"/>
    <col min="10" max="10" width="8.7109375" style="2" customWidth="1"/>
    <col min="11" max="11" width="7.5703125" style="2" customWidth="1"/>
    <col min="12" max="12" width="8" style="2" customWidth="1"/>
    <col min="13" max="13" width="7.85546875" style="2" customWidth="1"/>
    <col min="14" max="14" width="7.7109375" style="2" customWidth="1"/>
    <col min="15" max="15" width="9.140625" style="2"/>
    <col min="16" max="16" width="8.7109375" style="2" customWidth="1"/>
    <col min="17" max="16384" width="9.140625" style="2"/>
  </cols>
  <sheetData>
    <row r="2" spans="1:16" x14ac:dyDescent="0.2">
      <c r="A2" s="2" t="s">
        <v>15</v>
      </c>
    </row>
    <row r="5" spans="1:16" ht="12.75" x14ac:dyDescent="0.2">
      <c r="A5" s="44" t="s">
        <v>42</v>
      </c>
    </row>
    <row r="7" spans="1:16" ht="12" x14ac:dyDescent="0.2">
      <c r="A7" s="52">
        <v>45139</v>
      </c>
      <c r="B7" s="52"/>
      <c r="D7" s="14"/>
      <c r="E7" s="14"/>
      <c r="F7" s="14"/>
      <c r="G7" s="14"/>
      <c r="H7" s="14"/>
    </row>
    <row r="9" spans="1:16" ht="15" customHeight="1" x14ac:dyDescent="0.2">
      <c r="A9" s="53"/>
      <c r="B9" s="54" t="s">
        <v>16</v>
      </c>
      <c r="C9" s="54" t="s">
        <v>17</v>
      </c>
      <c r="D9" s="54" t="s">
        <v>18</v>
      </c>
      <c r="E9" s="54" t="s">
        <v>19</v>
      </c>
      <c r="F9" s="54" t="s">
        <v>20</v>
      </c>
      <c r="G9" s="54" t="s">
        <v>21</v>
      </c>
      <c r="H9" s="54" t="s">
        <v>22</v>
      </c>
      <c r="I9" s="54" t="s">
        <v>23</v>
      </c>
      <c r="J9" s="54" t="s">
        <v>24</v>
      </c>
      <c r="K9" s="54" t="s">
        <v>25</v>
      </c>
      <c r="L9" s="54" t="s">
        <v>26</v>
      </c>
      <c r="M9" s="55" t="s">
        <v>27</v>
      </c>
      <c r="N9" s="55" t="s">
        <v>28</v>
      </c>
      <c r="O9" s="55" t="s">
        <v>29</v>
      </c>
      <c r="P9" s="56" t="s">
        <v>1</v>
      </c>
    </row>
    <row r="10" spans="1:16" ht="11.25" customHeight="1" x14ac:dyDescent="0.2">
      <c r="A10" s="53"/>
      <c r="B10" s="54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5"/>
      <c r="N10" s="55"/>
      <c r="O10" s="55"/>
      <c r="P10" s="56"/>
    </row>
    <row r="11" spans="1:16" ht="11.25" customHeight="1" x14ac:dyDescent="0.2">
      <c r="A11" s="53"/>
      <c r="B11" s="54"/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5"/>
      <c r="N11" s="55"/>
      <c r="O11" s="55"/>
      <c r="P11" s="56"/>
    </row>
    <row r="12" spans="1:16" ht="23.25" customHeight="1" x14ac:dyDescent="0.2">
      <c r="A12" s="15">
        <v>44410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7"/>
      <c r="N12" s="17"/>
      <c r="O12" s="17"/>
      <c r="P12" s="5">
        <f t="shared" ref="P12:P25" si="0">SUM(B12:L12)</f>
        <v>0</v>
      </c>
    </row>
    <row r="13" spans="1:16" ht="24" customHeight="1" x14ac:dyDescent="0.2">
      <c r="A13" s="15">
        <v>44412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7"/>
      <c r="N13" s="17"/>
      <c r="O13" s="17"/>
      <c r="P13" s="5">
        <f t="shared" si="0"/>
        <v>0</v>
      </c>
    </row>
    <row r="14" spans="1:16" ht="24" customHeight="1" x14ac:dyDescent="0.2">
      <c r="A14" s="28">
        <v>44413</v>
      </c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7"/>
      <c r="N14" s="17"/>
      <c r="O14" s="17"/>
      <c r="P14" s="5">
        <f t="shared" si="0"/>
        <v>0</v>
      </c>
    </row>
    <row r="15" spans="1:16" ht="24" customHeight="1" x14ac:dyDescent="0.2">
      <c r="A15" s="28">
        <v>44781</v>
      </c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7"/>
      <c r="N15" s="17"/>
      <c r="O15" s="17"/>
      <c r="P15" s="5">
        <f t="shared" si="0"/>
        <v>0</v>
      </c>
    </row>
    <row r="16" spans="1:16" ht="24" customHeight="1" x14ac:dyDescent="0.2">
      <c r="A16" s="28">
        <v>44417</v>
      </c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7"/>
      <c r="N16" s="17"/>
      <c r="O16" s="17"/>
      <c r="P16" s="5">
        <f t="shared" si="0"/>
        <v>0</v>
      </c>
    </row>
    <row r="17" spans="1:16" ht="24" customHeight="1" x14ac:dyDescent="0.2">
      <c r="A17" s="28">
        <v>44783</v>
      </c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7"/>
      <c r="N17" s="17"/>
      <c r="O17" s="17"/>
      <c r="P17" s="5">
        <f t="shared" si="0"/>
        <v>0</v>
      </c>
    </row>
    <row r="18" spans="1:16" ht="24" customHeight="1" x14ac:dyDescent="0.2">
      <c r="A18" s="28">
        <v>44419</v>
      </c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7"/>
      <c r="N18" s="17"/>
      <c r="O18" s="17"/>
      <c r="P18" s="5">
        <f t="shared" si="0"/>
        <v>0</v>
      </c>
    </row>
    <row r="19" spans="1:16" ht="24" customHeight="1" x14ac:dyDescent="0.2">
      <c r="A19" s="30">
        <v>44420</v>
      </c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7"/>
      <c r="N19" s="17"/>
      <c r="O19" s="17"/>
      <c r="P19" s="5">
        <f t="shared" si="0"/>
        <v>0</v>
      </c>
    </row>
    <row r="20" spans="1:16" ht="24" customHeight="1" x14ac:dyDescent="0.2">
      <c r="A20" s="30">
        <v>44788</v>
      </c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7"/>
      <c r="N20" s="17"/>
      <c r="O20" s="17"/>
      <c r="P20" s="5">
        <f t="shared" si="0"/>
        <v>0</v>
      </c>
    </row>
    <row r="21" spans="1:16" ht="24" customHeight="1" x14ac:dyDescent="0.2">
      <c r="A21" s="30">
        <v>44424</v>
      </c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7"/>
      <c r="N21" s="17"/>
      <c r="O21" s="17"/>
      <c r="P21" s="5">
        <f t="shared" si="0"/>
        <v>0</v>
      </c>
    </row>
    <row r="22" spans="1:16" ht="24" customHeight="1" x14ac:dyDescent="0.2">
      <c r="A22" s="30">
        <v>44426</v>
      </c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7"/>
      <c r="N22" s="17"/>
      <c r="O22" s="17"/>
      <c r="P22" s="5">
        <f t="shared" si="0"/>
        <v>0</v>
      </c>
    </row>
    <row r="23" spans="1:16" ht="24" customHeight="1" x14ac:dyDescent="0.2">
      <c r="A23" s="30">
        <v>44792</v>
      </c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7"/>
      <c r="N23" s="17"/>
      <c r="O23" s="17"/>
      <c r="P23" s="5">
        <f t="shared" si="0"/>
        <v>0</v>
      </c>
    </row>
    <row r="24" spans="1:16" ht="24" customHeight="1" x14ac:dyDescent="0.2">
      <c r="A24" s="30">
        <v>44796</v>
      </c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7"/>
      <c r="N24" s="17"/>
      <c r="O24" s="17"/>
      <c r="P24" s="5">
        <f t="shared" si="0"/>
        <v>0</v>
      </c>
    </row>
    <row r="25" spans="1:16" ht="24" customHeight="1" x14ac:dyDescent="0.2">
      <c r="A25" s="19">
        <v>44439</v>
      </c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7"/>
      <c r="N25" s="17"/>
      <c r="O25" s="17"/>
      <c r="P25" s="5">
        <f t="shared" si="0"/>
        <v>0</v>
      </c>
    </row>
    <row r="26" spans="1:16" ht="24" customHeight="1" x14ac:dyDescent="0.2">
      <c r="A26" s="30" t="s">
        <v>2</v>
      </c>
      <c r="B26" s="39">
        <f t="shared" ref="B26:P26" si="1">SUM(B12:B25)</f>
        <v>0</v>
      </c>
      <c r="C26" s="42">
        <f t="shared" si="1"/>
        <v>0</v>
      </c>
      <c r="D26" s="42">
        <f t="shared" si="1"/>
        <v>0</v>
      </c>
      <c r="E26" s="42">
        <f t="shared" si="1"/>
        <v>0</v>
      </c>
      <c r="F26" s="42">
        <f t="shared" si="1"/>
        <v>0</v>
      </c>
      <c r="G26" s="42">
        <f t="shared" si="1"/>
        <v>0</v>
      </c>
      <c r="H26" s="42">
        <f t="shared" si="1"/>
        <v>0</v>
      </c>
      <c r="I26" s="42">
        <f t="shared" si="1"/>
        <v>0</v>
      </c>
      <c r="J26" s="42">
        <f t="shared" si="1"/>
        <v>0</v>
      </c>
      <c r="K26" s="42">
        <f t="shared" si="1"/>
        <v>0</v>
      </c>
      <c r="L26" s="42">
        <f t="shared" si="1"/>
        <v>0</v>
      </c>
      <c r="M26" s="22">
        <f t="shared" si="1"/>
        <v>0</v>
      </c>
      <c r="N26" s="22">
        <f t="shared" si="1"/>
        <v>0</v>
      </c>
      <c r="O26" s="23">
        <f t="shared" si="1"/>
        <v>0</v>
      </c>
      <c r="P26" s="36">
        <f t="shared" si="1"/>
        <v>0</v>
      </c>
    </row>
    <row r="27" spans="1:16" ht="12" customHeight="1" x14ac:dyDescent="0.2">
      <c r="A27" s="25"/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57" t="s">
        <v>37</v>
      </c>
      <c r="M27" s="57"/>
      <c r="N27" s="57"/>
      <c r="O27" s="57"/>
      <c r="P27" s="57"/>
    </row>
    <row r="28" spans="1:16" ht="24" customHeight="1" x14ac:dyDescent="0.2">
      <c r="A28" s="25"/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7"/>
    </row>
    <row r="29" spans="1:16" ht="24" customHeight="1" x14ac:dyDescent="0.2">
      <c r="A29" s="25"/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7"/>
    </row>
  </sheetData>
  <mergeCells count="18">
    <mergeCell ref="O9:O11"/>
    <mergeCell ref="P9:P11"/>
    <mergeCell ref="L27:P27"/>
    <mergeCell ref="J9:J11"/>
    <mergeCell ref="K9:K11"/>
    <mergeCell ref="L9:L11"/>
    <mergeCell ref="M9:M11"/>
    <mergeCell ref="N9:N11"/>
    <mergeCell ref="E9:E11"/>
    <mergeCell ref="F9:F11"/>
    <mergeCell ref="G9:G11"/>
    <mergeCell ref="H9:H11"/>
    <mergeCell ref="I9:I11"/>
    <mergeCell ref="A7:B7"/>
    <mergeCell ref="A9:A11"/>
    <mergeCell ref="B9:B11"/>
    <mergeCell ref="C9:C11"/>
    <mergeCell ref="D9:D11"/>
  </mergeCells>
  <pageMargins left="0.31527777777777799" right="0.31527777777777799" top="0.78749999999999998" bottom="0.78749999999999998" header="0.511811023622047" footer="0.511811023622047"/>
  <pageSetup paperSize="9" fitToWidth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331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13</vt:i4>
      </vt:variant>
    </vt:vector>
  </HeadingPairs>
  <TitlesOfParts>
    <vt:vector size="13" baseType="lpstr">
      <vt:lpstr>RECEITA TOTAL</vt:lpstr>
      <vt:lpstr>JAN 25%</vt:lpstr>
      <vt:lpstr>FEV 25% </vt:lpstr>
      <vt:lpstr>MAR 25% </vt:lpstr>
      <vt:lpstr>ABR 25% </vt:lpstr>
      <vt:lpstr>MAI 25%</vt:lpstr>
      <vt:lpstr>JUN 25%</vt:lpstr>
      <vt:lpstr>JUL 25%</vt:lpstr>
      <vt:lpstr>AGO 25% </vt:lpstr>
      <vt:lpstr>SET 25%</vt:lpstr>
      <vt:lpstr>OUT 25%</vt:lpstr>
      <vt:lpstr>NOV 25%</vt:lpstr>
      <vt:lpstr>DEZ 25%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jane</dc:creator>
  <dc:description/>
  <cp:lastModifiedBy>crmvap01@hotmail.com</cp:lastModifiedBy>
  <cp:revision>39</cp:revision>
  <cp:lastPrinted>2023-08-11T13:38:28Z</cp:lastPrinted>
  <dcterms:created xsi:type="dcterms:W3CDTF">2012-12-12T12:29:50Z</dcterms:created>
  <dcterms:modified xsi:type="dcterms:W3CDTF">2023-08-11T13:38:30Z</dcterms:modified>
  <dc:language>pt-BR</dc:language>
</cp:coreProperties>
</file>